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inkpic.sharepoint.com/sites/SanDiegoRegionalPolicyandInnovationCenter/Shared Documents/Projects/1. ARPA Projects (3003, 3004, 3005)/ARPA Projects/1. Green Stormwater Infrastructure/02 SDYS GSI Construction Phase/00 RFP/RFP Attachments/"/>
    </mc:Choice>
  </mc:AlternateContent>
  <xr:revisionPtr revIDLastSave="0" documentId="8_{30441361-DAAE-4002-898D-9DC28F21DCFE}" xr6:coauthVersionLast="47" xr6:coauthVersionMax="47" xr10:uidLastSave="{00000000-0000-0000-0000-000000000000}"/>
  <bookViews>
    <workbookView xWindow="-108" yWindow="-108" windowWidth="23256" windowHeight="12456" tabRatio="740" firstSheet="2" activeTab="2" xr2:uid="{A4AC8359-BF05-4AF9-BD04-E6ECDF4F1370}"/>
  </bookViews>
  <sheets>
    <sheet name="Engineer's Estimate" sheetId="1" state="hidden" r:id="rId1"/>
    <sheet name="07-Temp Check Dam" sheetId="37" state="hidden" r:id="rId2"/>
    <sheet name="Sheet1" sheetId="146" r:id="rId3"/>
    <sheet name="Line Items" sheetId="39" r:id="rId4"/>
    <sheet name="COST INDEX" sheetId="142" state="hidden" r:id="rId5"/>
    <sheet name="7-Temp Gravel Bag Berm" sheetId="19" state="hidden" r:id="rId6"/>
    <sheet name="7-Temp Construction Entrance" sheetId="18" state="hidden" r:id="rId7"/>
    <sheet name="ADJUST CLEANOUT TO GRADE" sheetId="136" state="hidden" r:id="rId8"/>
    <sheet name="TEMPORARY FIBER ROLLS" sheetId="81" state="hidden" r:id="rId9"/>
    <sheet name="TEMPORARY GRAVEL BAGS" sheetId="80" state="hidden" r:id="rId10"/>
    <sheet name="TRENCH RESURFACING" sheetId="84" state="hidden" r:id="rId11"/>
    <sheet name="SIDEWALK UNDERDRAIN" sheetId="93" state="hidden" r:id="rId12"/>
    <sheet name="CLEANOUT" sheetId="94" state="hidden" r:id="rId13"/>
    <sheet name="CHECK DAM BASIN AREA" sheetId="97" state="hidden" r:id="rId14"/>
    <sheet name="CATCH BASIN" sheetId="96" state="hidden" r:id="rId15"/>
    <sheet name="INLET" sheetId="95" state="hidden" r:id="rId16"/>
    <sheet name="STORM DRAIN PIPE" sheetId="99" state="hidden" r:id="rId17"/>
    <sheet name="DISPERSION AREA" sheetId="101" state="hidden" r:id="rId18"/>
    <sheet name="BIOFILTRATION AREA" sheetId="102" state="hidden" r:id="rId19"/>
    <sheet name="TEMPORARY EROSION CONTROL" sheetId="103" state="hidden" r:id="rId20"/>
    <sheet name="TEMPORARY COVER" sheetId="104" state="hidden" r:id="rId21"/>
    <sheet name="HYRDOSEED" sheetId="105" state="hidden" r:id="rId22"/>
    <sheet name="8&quot; PVC NON PERFORATED" sheetId="106" state="hidden" r:id="rId23"/>
    <sheet name="8&quot; PVC PERFORATED" sheetId="107" state="hidden" r:id="rId24"/>
    <sheet name="BASIN CLEANOUT" sheetId="108" state="hidden" r:id="rId25"/>
    <sheet name="ROADWAY EXCAVATION" sheetId="110" state="hidden" r:id="rId26"/>
    <sheet name="ENGINEERED SOIL MEDIA" sheetId="111" state="hidden" r:id="rId27"/>
    <sheet name="GRAVEL LAYER" sheetId="112" state="hidden" r:id="rId28"/>
    <sheet name="IMPERMEABLE LINER" sheetId="113" state="hidden" r:id="rId29"/>
    <sheet name="CHOKER LAYER" sheetId="114" state="hidden" r:id="rId30"/>
    <sheet name="WOOD MULCH" sheetId="115" state="hidden" r:id="rId31"/>
    <sheet name="Temp Concrete Washout" sheetId="16" state="hidden" r:id="rId32"/>
    <sheet name="19-Roadway Excavation" sheetId="14" state="hidden" r:id="rId33"/>
    <sheet name="37-Asphaltic Emulsion (FSC)" sheetId="11" state="hidden" r:id="rId34"/>
    <sheet name="IRRIGATION CONDUIT" sheetId="48" state="hidden" r:id="rId35"/>
    <sheet name="TREATED WOOD WASTE" sheetId="49" state="hidden" r:id="rId36"/>
  </sheets>
  <definedNames>
    <definedName name="_xlnm._FilterDatabase" localSheetId="3" hidden="1">'Line Items'!$A$3:$H$98</definedName>
    <definedName name="middle_column" localSheetId="3">'Line Items'!#REF!</definedName>
    <definedName name="_xlnm.Print_Area" localSheetId="1">'07-Temp Check Dam'!$A$1:$K$19</definedName>
    <definedName name="_xlnm.Print_Area" localSheetId="22">'8" PVC NON PERFORATED'!$A$1:$J$21</definedName>
    <definedName name="_xlnm.Print_Area" localSheetId="23">'8" PVC PERFORATED'!$A$1:$J$21</definedName>
    <definedName name="_xlnm.Print_Area" localSheetId="7">'ADJUST CLEANOUT TO GRADE'!$A$1:$J$21</definedName>
    <definedName name="_xlnm.Print_Area" localSheetId="24">'BASIN CLEANOUT'!$A$1:$J$21</definedName>
    <definedName name="_xlnm.Print_Area" localSheetId="18">'BIOFILTRATION AREA'!$A$1:$J$21</definedName>
    <definedName name="_xlnm.Print_Area" localSheetId="14">'CATCH BASIN'!$A$1:$J$21</definedName>
    <definedName name="_xlnm.Print_Area" localSheetId="13">'CHECK DAM BASIN AREA'!$A$1:$J$21</definedName>
    <definedName name="_xlnm.Print_Area" localSheetId="29">'CHOKER LAYER'!$A$1:$J$21</definedName>
    <definedName name="_xlnm.Print_Area" localSheetId="12">CLEANOUT!$A$1:$J$21</definedName>
    <definedName name="_xlnm.Print_Area" localSheetId="17">'DISPERSION AREA'!$A$1:$J$21</definedName>
    <definedName name="_xlnm.Print_Area" localSheetId="26">'ENGINEERED SOIL MEDIA'!$A$1:$J$21</definedName>
    <definedName name="_xlnm.Print_Area" localSheetId="0">'Engineer''s Estimate'!$B$2:$G$248</definedName>
    <definedName name="_xlnm.Print_Area" localSheetId="27">'GRAVEL LAYER'!$A$1:$J$21</definedName>
    <definedName name="_xlnm.Print_Area" localSheetId="21">HYRDOSEED!$A$1:$J$21</definedName>
    <definedName name="_xlnm.Print_Area" localSheetId="28">'IMPERMEABLE LINER'!$A$1:$L$21</definedName>
    <definedName name="_xlnm.Print_Area" localSheetId="15">INLET!$A$1:$J$22</definedName>
    <definedName name="_xlnm.Print_Area" localSheetId="3">'Line Items'!$A$3:$H$98</definedName>
    <definedName name="_xlnm.Print_Area" localSheetId="25">'ROADWAY EXCAVATION'!$A$1:$J$21</definedName>
    <definedName name="_xlnm.Print_Area" localSheetId="11">'SIDEWALK UNDERDRAIN'!$A$1:$J$21</definedName>
    <definedName name="_xlnm.Print_Area" localSheetId="16">'STORM DRAIN PIPE'!$A$1:$J$21</definedName>
    <definedName name="_xlnm.Print_Area" localSheetId="20">'TEMPORARY COVER'!$A$1:$J$21</definedName>
    <definedName name="_xlnm.Print_Area" localSheetId="19">'TEMPORARY EROSION CONTROL'!$A$1:$J$21</definedName>
    <definedName name="_xlnm.Print_Area" localSheetId="8">'TEMPORARY FIBER ROLLS'!$A$1:$J$21</definedName>
    <definedName name="_xlnm.Print_Area" localSheetId="9">'TEMPORARY GRAVEL BAGS'!$A$1:$J$21</definedName>
    <definedName name="_xlnm.Print_Area" localSheetId="10">'TRENCH RESURFACING'!$A$1:$J$21</definedName>
    <definedName name="_xlnm.Print_Area" localSheetId="30">'WOOD MULCH'!$A$1:$J$21</definedName>
    <definedName name="_xlnm.Print_Titles" localSheetId="0">'Engineer''s Estimate'!$6:$7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39" l="1"/>
  <c r="H96" i="39"/>
  <c r="H92" i="39"/>
  <c r="H88" i="39"/>
  <c r="H86" i="39"/>
  <c r="H84" i="39"/>
  <c r="H69" i="39"/>
  <c r="H53" i="39"/>
  <c r="H11" i="39"/>
  <c r="H5" i="39" l="1"/>
  <c r="H46" i="39"/>
  <c r="H36" i="39"/>
  <c r="H35" i="39"/>
  <c r="H34" i="39"/>
  <c r="H67" i="39"/>
  <c r="H51" i="39" l="1"/>
  <c r="H18" i="39" l="1"/>
  <c r="H17" i="39"/>
  <c r="H16" i="39"/>
  <c r="H15" i="39" l="1"/>
  <c r="H83" i="39"/>
  <c r="H13" i="39"/>
  <c r="H14" i="39"/>
  <c r="H50" i="39" l="1"/>
  <c r="H49" i="39"/>
  <c r="H23" i="39" l="1"/>
  <c r="H59" i="39" l="1"/>
  <c r="H78" i="39" l="1"/>
  <c r="H77" i="39"/>
  <c r="H70" i="39"/>
  <c r="H76" i="39"/>
  <c r="H73" i="39"/>
  <c r="H74" i="39" l="1"/>
  <c r="H85" i="39"/>
  <c r="C16" i="146" s="1"/>
  <c r="H63" i="39"/>
  <c r="H62" i="39"/>
  <c r="H61" i="39"/>
  <c r="H60" i="39"/>
  <c r="H58" i="39"/>
  <c r="H75" i="39" l="1"/>
  <c r="H71" i="39"/>
  <c r="H72" i="39"/>
  <c r="H39" i="39"/>
  <c r="H42" i="39"/>
  <c r="H20" i="39"/>
  <c r="H80" i="39"/>
  <c r="H87" i="39"/>
  <c r="C17" i="146" s="1"/>
  <c r="H89" i="39"/>
  <c r="H90" i="39"/>
  <c r="H91" i="39"/>
  <c r="H93" i="39"/>
  <c r="H94" i="39"/>
  <c r="H95" i="39"/>
  <c r="H55" i="39"/>
  <c r="H56" i="39"/>
  <c r="H57" i="39"/>
  <c r="H64" i="39"/>
  <c r="H65" i="39"/>
  <c r="H66" i="39"/>
  <c r="H68" i="39"/>
  <c r="H40" i="39"/>
  <c r="H43" i="39"/>
  <c r="H44" i="39"/>
  <c r="H45" i="39"/>
  <c r="H47" i="39"/>
  <c r="H48" i="39"/>
  <c r="H52" i="39"/>
  <c r="H8" i="39"/>
  <c r="H9" i="39"/>
  <c r="H10" i="39"/>
  <c r="H24" i="39"/>
  <c r="H25" i="39"/>
  <c r="H27" i="39"/>
  <c r="H28" i="39"/>
  <c r="H29" i="39"/>
  <c r="H30" i="39"/>
  <c r="H31" i="39"/>
  <c r="H32" i="39"/>
  <c r="H33" i="39"/>
  <c r="A6" i="39"/>
  <c r="A7" i="39" s="1"/>
  <c r="A8" i="39" s="1"/>
  <c r="A9" i="39" s="1"/>
  <c r="A10" i="39" s="1"/>
  <c r="A12" i="39" s="1"/>
  <c r="A13" i="39" s="1"/>
  <c r="H41" i="39" l="1"/>
  <c r="H79" i="39"/>
  <c r="H81" i="39" s="1"/>
  <c r="C14" i="146" s="1"/>
  <c r="H19" i="39"/>
  <c r="A14" i="39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H22" i="39"/>
  <c r="C18" i="146"/>
  <c r="C19" i="146" l="1"/>
  <c r="H21" i="39"/>
  <c r="A27" i="39"/>
  <c r="A28" i="39" s="1"/>
  <c r="H12" i="39"/>
  <c r="A29" i="39" l="1"/>
  <c r="A30" i="39" s="1"/>
  <c r="A31" i="39" s="1"/>
  <c r="A32" i="39" s="1"/>
  <c r="A33" i="39" s="1"/>
  <c r="A34" i="39" s="1"/>
  <c r="A35" i="39" s="1"/>
  <c r="A36" i="39" s="1"/>
  <c r="A38" i="39" s="1"/>
  <c r="A39" i="39" s="1"/>
  <c r="A40" i="39" s="1"/>
  <c r="A41" i="39" s="1"/>
  <c r="A42" i="39" s="1"/>
  <c r="A43" i="39" s="1"/>
  <c r="A44" i="39" s="1"/>
  <c r="A45" i="39" s="1"/>
  <c r="H26" i="39"/>
  <c r="H82" i="39"/>
  <c r="C15" i="146" l="1"/>
  <c r="A46" i="39"/>
  <c r="A47" i="39" s="1"/>
  <c r="A48" i="39" s="1"/>
  <c r="A49" i="39" s="1"/>
  <c r="A50" i="39" s="1"/>
  <c r="A51" i="39" s="1"/>
  <c r="A52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70" i="39" s="1"/>
  <c r="A71" i="39" s="1"/>
  <c r="A72" i="39" s="1"/>
  <c r="A73" i="39" s="1"/>
  <c r="A74" i="39" s="1"/>
  <c r="A75" i="39" s="1"/>
  <c r="H38" i="39"/>
  <c r="H54" i="39"/>
  <c r="C13" i="146" s="1"/>
  <c r="C9" i="142"/>
  <c r="C10" i="142"/>
  <c r="C11" i="142"/>
  <c r="C12" i="142"/>
  <c r="C13" i="142"/>
  <c r="C14" i="142"/>
  <c r="C15" i="142"/>
  <c r="C16" i="142"/>
  <c r="C17" i="142"/>
  <c r="C18" i="142"/>
  <c r="C19" i="142"/>
  <c r="C20" i="142"/>
  <c r="C21" i="142"/>
  <c r="C22" i="142"/>
  <c r="C23" i="142"/>
  <c r="C24" i="142"/>
  <c r="C25" i="142"/>
  <c r="C26" i="142"/>
  <c r="C27" i="142"/>
  <c r="C28" i="142"/>
  <c r="C29" i="142"/>
  <c r="C30" i="142"/>
  <c r="C31" i="142"/>
  <c r="C32" i="142"/>
  <c r="C33" i="142"/>
  <c r="C34" i="142"/>
  <c r="C35" i="142"/>
  <c r="C36" i="142"/>
  <c r="C37" i="142"/>
  <c r="C38" i="142"/>
  <c r="C39" i="142"/>
  <c r="C40" i="142"/>
  <c r="C41" i="142"/>
  <c r="C42" i="142"/>
  <c r="C43" i="142"/>
  <c r="C44" i="142"/>
  <c r="C45" i="142"/>
  <c r="C46" i="142"/>
  <c r="C47" i="142"/>
  <c r="C48" i="142"/>
  <c r="C49" i="142"/>
  <c r="C50" i="142"/>
  <c r="C51" i="142"/>
  <c r="C52" i="142"/>
  <c r="C53" i="142"/>
  <c r="C54" i="142"/>
  <c r="C55" i="142"/>
  <c r="C56" i="142"/>
  <c r="C57" i="142"/>
  <c r="C8" i="142"/>
  <c r="A49" i="142"/>
  <c r="A50" i="142" s="1"/>
  <c r="D15" i="95"/>
  <c r="D10" i="95"/>
  <c r="D11" i="95"/>
  <c r="D12" i="95"/>
  <c r="D13" i="95"/>
  <c r="D14" i="95"/>
  <c r="D9" i="95"/>
  <c r="D17" i="95" s="1"/>
  <c r="I20" i="95" s="1"/>
  <c r="I19" i="81"/>
  <c r="I20" i="81"/>
  <c r="B18" i="81"/>
  <c r="I19" i="80"/>
  <c r="I20" i="80"/>
  <c r="B18" i="80"/>
  <c r="I19" i="96"/>
  <c r="I20" i="96" s="1"/>
  <c r="B18" i="99"/>
  <c r="I19" i="99"/>
  <c r="I20" i="99"/>
  <c r="B18" i="107"/>
  <c r="I19" i="107" s="1"/>
  <c r="I20" i="107" s="1"/>
  <c r="D18" i="110"/>
  <c r="I19" i="110"/>
  <c r="I20" i="110" s="1"/>
  <c r="C9" i="99"/>
  <c r="B17" i="95"/>
  <c r="B3" i="80"/>
  <c r="I19" i="136"/>
  <c r="I20" i="136" s="1"/>
  <c r="J4" i="136"/>
  <c r="H4" i="136"/>
  <c r="B4" i="136"/>
  <c r="J3" i="136"/>
  <c r="H3" i="136"/>
  <c r="B3" i="136"/>
  <c r="L4" i="113"/>
  <c r="J4" i="113"/>
  <c r="J4" i="115"/>
  <c r="H4" i="115"/>
  <c r="J4" i="114"/>
  <c r="H4" i="114"/>
  <c r="J4" i="112"/>
  <c r="H4" i="112"/>
  <c r="J4" i="111"/>
  <c r="H4" i="111"/>
  <c r="J4" i="110"/>
  <c r="H4" i="110"/>
  <c r="J4" i="108"/>
  <c r="H4" i="108"/>
  <c r="H3" i="108"/>
  <c r="J3" i="108"/>
  <c r="J4" i="107"/>
  <c r="H4" i="107"/>
  <c r="J4" i="106"/>
  <c r="H4" i="106"/>
  <c r="J4" i="99"/>
  <c r="H4" i="99"/>
  <c r="J4" i="95"/>
  <c r="H4" i="95"/>
  <c r="J4" i="96"/>
  <c r="H4" i="96"/>
  <c r="J4" i="94"/>
  <c r="H4" i="94"/>
  <c r="J4" i="93"/>
  <c r="H4" i="93"/>
  <c r="D9" i="113"/>
  <c r="D17" i="113" s="1"/>
  <c r="D18" i="113" s="1"/>
  <c r="K19" i="113" s="1"/>
  <c r="K20" i="113" s="1"/>
  <c r="I19" i="106"/>
  <c r="I20" i="106" s="1"/>
  <c r="I19" i="93"/>
  <c r="I20" i="93"/>
  <c r="C9" i="115"/>
  <c r="D9" i="115" s="1"/>
  <c r="D18" i="115" s="1"/>
  <c r="I19" i="115" s="1"/>
  <c r="I20" i="115" s="1"/>
  <c r="C9" i="114"/>
  <c r="D9" i="114"/>
  <c r="D18" i="114" s="1"/>
  <c r="I19" i="114" s="1"/>
  <c r="I20" i="114" s="1"/>
  <c r="C9" i="112"/>
  <c r="D9" i="112"/>
  <c r="D18" i="112" s="1"/>
  <c r="I19" i="112" s="1"/>
  <c r="I20" i="112" s="1"/>
  <c r="C9" i="111"/>
  <c r="D9" i="111" s="1"/>
  <c r="D18" i="111" s="1"/>
  <c r="I19" i="111" s="1"/>
  <c r="I20" i="111" s="1"/>
  <c r="I19" i="108"/>
  <c r="I20" i="108" s="1"/>
  <c r="C9" i="106"/>
  <c r="C9" i="107"/>
  <c r="D10" i="94"/>
  <c r="D9" i="94"/>
  <c r="I19" i="94" s="1"/>
  <c r="I20" i="94" s="1"/>
  <c r="B4" i="115"/>
  <c r="J3" i="115"/>
  <c r="H3" i="115"/>
  <c r="B3" i="115"/>
  <c r="B4" i="114"/>
  <c r="J3" i="114"/>
  <c r="H3" i="114"/>
  <c r="B3" i="114"/>
  <c r="B4" i="113"/>
  <c r="L3" i="113"/>
  <c r="J3" i="113"/>
  <c r="B3" i="113"/>
  <c r="B4" i="112"/>
  <c r="J3" i="112"/>
  <c r="H3" i="112"/>
  <c r="B3" i="112"/>
  <c r="B4" i="111"/>
  <c r="J3" i="111"/>
  <c r="H3" i="111"/>
  <c r="B3" i="111"/>
  <c r="B4" i="110"/>
  <c r="J3" i="110"/>
  <c r="H3" i="110"/>
  <c r="B3" i="110"/>
  <c r="B4" i="108"/>
  <c r="B3" i="108"/>
  <c r="B4" i="107"/>
  <c r="J3" i="107"/>
  <c r="H3" i="107"/>
  <c r="B3" i="107"/>
  <c r="B4" i="106"/>
  <c r="J3" i="106"/>
  <c r="H3" i="106"/>
  <c r="B3" i="106"/>
  <c r="I19" i="105"/>
  <c r="I20" i="105"/>
  <c r="B4" i="105"/>
  <c r="J3" i="105"/>
  <c r="H3" i="105"/>
  <c r="B3" i="105"/>
  <c r="I19" i="104"/>
  <c r="I20" i="104" s="1"/>
  <c r="B4" i="104"/>
  <c r="J3" i="104"/>
  <c r="H3" i="104"/>
  <c r="B3" i="104"/>
  <c r="I19" i="103"/>
  <c r="I20" i="103" s="1"/>
  <c r="B4" i="103"/>
  <c r="J3" i="103"/>
  <c r="H3" i="103"/>
  <c r="B3" i="103"/>
  <c r="I19" i="102"/>
  <c r="I20" i="102"/>
  <c r="B4" i="102"/>
  <c r="J3" i="102"/>
  <c r="H3" i="102"/>
  <c r="B3" i="102"/>
  <c r="I19" i="101"/>
  <c r="I20" i="101"/>
  <c r="B4" i="101"/>
  <c r="J3" i="101"/>
  <c r="H3" i="101"/>
  <c r="B3" i="101"/>
  <c r="B4" i="99"/>
  <c r="J3" i="99"/>
  <c r="H3" i="99"/>
  <c r="B3" i="99"/>
  <c r="I19" i="97"/>
  <c r="I20" i="97"/>
  <c r="B4" i="97"/>
  <c r="J3" i="97"/>
  <c r="H3" i="97"/>
  <c r="B3" i="97"/>
  <c r="B4" i="96"/>
  <c r="J3" i="96"/>
  <c r="H3" i="96"/>
  <c r="B3" i="96"/>
  <c r="B4" i="95"/>
  <c r="J3" i="95"/>
  <c r="H3" i="95"/>
  <c r="B3" i="95"/>
  <c r="B4" i="94"/>
  <c r="J3" i="94"/>
  <c r="H3" i="94"/>
  <c r="B3" i="94"/>
  <c r="B4" i="93"/>
  <c r="J3" i="93"/>
  <c r="H3" i="93"/>
  <c r="B3" i="93"/>
  <c r="I19" i="84"/>
  <c r="I20" i="84"/>
  <c r="B4" i="84"/>
  <c r="J3" i="84"/>
  <c r="H3" i="84"/>
  <c r="B3" i="84"/>
  <c r="B4" i="81"/>
  <c r="J3" i="81"/>
  <c r="H3" i="81"/>
  <c r="B3" i="81"/>
  <c r="B4" i="80"/>
  <c r="J3" i="80"/>
  <c r="H3" i="80"/>
  <c r="J16" i="16"/>
  <c r="C4" i="16"/>
  <c r="C3" i="16"/>
  <c r="J16" i="18"/>
  <c r="C4" i="18"/>
  <c r="C3" i="18"/>
  <c r="J16" i="19"/>
  <c r="C4" i="19"/>
  <c r="C3" i="19"/>
  <c r="B2" i="49"/>
  <c r="F13" i="49"/>
  <c r="F14" i="49"/>
  <c r="I23" i="48"/>
  <c r="I24" i="48"/>
  <c r="H23" i="48"/>
  <c r="H24" i="48" s="1"/>
  <c r="G23" i="48"/>
  <c r="G24" i="48" s="1"/>
  <c r="F23" i="48"/>
  <c r="F24" i="48"/>
  <c r="B3" i="48"/>
  <c r="G62" i="11"/>
  <c r="M62" i="11"/>
  <c r="G63" i="11"/>
  <c r="M63" i="11" s="1"/>
  <c r="G64" i="11"/>
  <c r="M64" i="11" s="1"/>
  <c r="G61" i="11"/>
  <c r="G60" i="11"/>
  <c r="G66" i="11" s="1"/>
  <c r="G31" i="11"/>
  <c r="O31" i="11"/>
  <c r="C3" i="11"/>
  <c r="C4" i="11"/>
  <c r="G11" i="11"/>
  <c r="M31" i="11" s="1"/>
  <c r="G44" i="11"/>
  <c r="O44" i="11"/>
  <c r="G43" i="11"/>
  <c r="O43" i="11"/>
  <c r="G45" i="11"/>
  <c r="O45" i="11"/>
  <c r="G37" i="11"/>
  <c r="O37" i="11"/>
  <c r="G42" i="11"/>
  <c r="O42" i="11" s="1"/>
  <c r="G41" i="11"/>
  <c r="O41" i="11" s="1"/>
  <c r="G40" i="11"/>
  <c r="O40" i="11"/>
  <c r="G39" i="11"/>
  <c r="O39" i="11" s="1"/>
  <c r="G38" i="11"/>
  <c r="O38" i="11"/>
  <c r="G36" i="11"/>
  <c r="O36" i="11"/>
  <c r="G34" i="11"/>
  <c r="O34" i="11"/>
  <c r="G35" i="11"/>
  <c r="O35" i="11"/>
  <c r="G33" i="11"/>
  <c r="O33" i="11" s="1"/>
  <c r="G32" i="11"/>
  <c r="O32" i="11" s="1"/>
  <c r="C3" i="37"/>
  <c r="C4" i="37"/>
  <c r="J16" i="37"/>
  <c r="C3" i="14"/>
  <c r="C4" i="14"/>
  <c r="C35" i="14"/>
  <c r="J35" i="14"/>
  <c r="G12" i="11"/>
  <c r="M32" i="11" s="1"/>
  <c r="G13" i="11"/>
  <c r="M33" i="11" s="1"/>
  <c r="G14" i="11"/>
  <c r="M34" i="11" s="1"/>
  <c r="G15" i="11"/>
  <c r="M35" i="11"/>
  <c r="G16" i="11"/>
  <c r="M36" i="11" s="1"/>
  <c r="G17" i="11"/>
  <c r="M37" i="11"/>
  <c r="G18" i="11"/>
  <c r="M38" i="11"/>
  <c r="G19" i="11"/>
  <c r="G47" i="11" s="1"/>
  <c r="J47" i="11" s="1"/>
  <c r="G20" i="11"/>
  <c r="M40" i="11" s="1"/>
  <c r="G21" i="11"/>
  <c r="M41" i="11" s="1"/>
  <c r="G22" i="11"/>
  <c r="M42" i="11" s="1"/>
  <c r="G23" i="11"/>
  <c r="M43" i="11"/>
  <c r="G24" i="11"/>
  <c r="M44" i="11" s="1"/>
  <c r="G25" i="11"/>
  <c r="M45" i="11"/>
  <c r="G26" i="11"/>
  <c r="M46" i="11"/>
  <c r="G27" i="11"/>
  <c r="M47" i="11" s="1"/>
  <c r="G28" i="11"/>
  <c r="M48" i="11" s="1"/>
  <c r="M61" i="11"/>
  <c r="A76" i="39" l="1"/>
  <c r="A77" i="39" s="1"/>
  <c r="A78" i="39" s="1"/>
  <c r="A79" i="39" s="1"/>
  <c r="A80" i="39" s="1"/>
  <c r="A82" i="39" s="1"/>
  <c r="A83" i="39" s="1"/>
  <c r="A85" i="39" s="1"/>
  <c r="A87" i="39" s="1"/>
  <c r="A89" i="39" s="1"/>
  <c r="A90" i="39" s="1"/>
  <c r="A91" i="39" s="1"/>
  <c r="A93" i="39" s="1"/>
  <c r="A94" i="39" s="1"/>
  <c r="A95" i="39" s="1"/>
  <c r="C12" i="146"/>
  <c r="C11" i="146"/>
  <c r="O47" i="11"/>
  <c r="M65" i="11"/>
  <c r="J66" i="11"/>
  <c r="A51" i="142"/>
  <c r="A52" i="142" s="1"/>
  <c r="A53" i="142" s="1"/>
  <c r="A54" i="142" s="1"/>
  <c r="A55" i="142" s="1"/>
  <c r="A56" i="142" s="1"/>
  <c r="A57" i="142" s="1"/>
  <c r="M39" i="11"/>
  <c r="M50" i="11" s="1"/>
  <c r="M60" i="11"/>
  <c r="H7" i="39" l="1"/>
  <c r="H6" i="39" l="1"/>
  <c r="H97" i="39" s="1"/>
  <c r="C10" i="146" l="1"/>
  <c r="D10" i="146" s="1"/>
  <c r="D16" i="146" l="1"/>
  <c r="D17" i="146"/>
  <c r="D18" i="146"/>
  <c r="D14" i="146"/>
  <c r="D19" i="146"/>
  <c r="D13" i="146"/>
  <c r="D15" i="146"/>
  <c r="D11" i="146"/>
  <c r="D12" i="146"/>
  <c r="C20" i="146"/>
  <c r="D20" i="146" s="1"/>
  <c r="B7" i="146" s="1"/>
</calcChain>
</file>

<file path=xl/sharedStrings.xml><?xml version="1.0" encoding="utf-8"?>
<sst xmlns="http://schemas.openxmlformats.org/spreadsheetml/2006/main" count="1192" uniqueCount="379">
  <si>
    <t>ESTIMATE QUANTITY CALCULATION</t>
  </si>
  <si>
    <t>RICK ENGINEERING COMPANY</t>
  </si>
  <si>
    <t>PROJECT:</t>
  </si>
  <si>
    <t>Done By:</t>
  </si>
  <si>
    <t>Date:</t>
  </si>
  <si>
    <t>SUBMITTAL STAGE:</t>
  </si>
  <si>
    <t>Checked By:</t>
  </si>
  <si>
    <t>ITEM CODE (Caltrans)</t>
  </si>
  <si>
    <t>DESCRIPTION</t>
  </si>
  <si>
    <t>130610</t>
  </si>
  <si>
    <t>TEMPORARY CHECK DAM</t>
  </si>
  <si>
    <t>LOCATION</t>
  </si>
  <si>
    <t>UNIT</t>
  </si>
  <si>
    <t>STAGE</t>
  </si>
  <si>
    <t>LF</t>
  </si>
  <si>
    <t>-</t>
  </si>
  <si>
    <t>QUANTITY TOTAL =</t>
  </si>
  <si>
    <t>USE</t>
  </si>
  <si>
    <t xml:space="preserve">NOTES: </t>
  </si>
  <si>
    <r>
      <rPr>
        <b/>
        <sz val="10"/>
        <rFont val="Arial"/>
        <family val="2"/>
      </rPr>
      <t xml:space="preserve">Instructions: </t>
    </r>
    <r>
      <rPr>
        <sz val="10"/>
        <rFont val="Arial"/>
      </rPr>
      <t>Submit an excel or PDF copy of the completed cost form. Please note the submission but include both sheets.</t>
    </r>
  </si>
  <si>
    <t>Project</t>
  </si>
  <si>
    <t>SDYS Green Stormwater Demonstration</t>
  </si>
  <si>
    <t>Company</t>
  </si>
  <si>
    <t>Total Cost</t>
  </si>
  <si>
    <t>Construction Element No.</t>
  </si>
  <si>
    <t>Construction Element Name</t>
  </si>
  <si>
    <t>Subtotal</t>
  </si>
  <si>
    <t>Element Total
(Subtotal + Base Element)</t>
  </si>
  <si>
    <t>Base Element</t>
  </si>
  <si>
    <t>Bioinfiltration Swale</t>
  </si>
  <si>
    <t>Bioinfiltration Basin</t>
  </si>
  <si>
    <t>Cistern</t>
  </si>
  <si>
    <t>Permeable Pavement</t>
  </si>
  <si>
    <t>Pathway/Maintenance Access</t>
  </si>
  <si>
    <t xml:space="preserve">Lighting </t>
  </si>
  <si>
    <t>Shade Trees</t>
  </si>
  <si>
    <t>Upper Fruit Forest</t>
  </si>
  <si>
    <t>Lower Fruit Forest</t>
  </si>
  <si>
    <t>Total Cost (Base Bid)</t>
  </si>
  <si>
    <t>PROJECT</t>
  </si>
  <si>
    <t>SDYS - Green Stormwater Demonstration</t>
  </si>
  <si>
    <t>ITEM</t>
  </si>
  <si>
    <t>DETAIL</t>
  </si>
  <si>
    <t>ITEM DESCRIPTION</t>
  </si>
  <si>
    <t>QUANTITY</t>
  </si>
  <si>
    <t>UNIT PRICE</t>
  </si>
  <si>
    <t>TOTAL PRICE</t>
  </si>
  <si>
    <t>PROJECT FEATURE</t>
  </si>
  <si>
    <t>(5%, 100K MAX)</t>
  </si>
  <si>
    <t>FIELD ORDERS</t>
  </si>
  <si>
    <t>DLR</t>
  </si>
  <si>
    <t>(3%)</t>
  </si>
  <si>
    <t>EROSION CONTROL BMPs &amp; SWPPP</t>
  </si>
  <si>
    <t>LS</t>
  </si>
  <si>
    <t>(5%)</t>
  </si>
  <si>
    <t>MOBILIZATION</t>
  </si>
  <si>
    <t>NEW IRRIGATION POINT OF CONNECTION</t>
  </si>
  <si>
    <t>IRRIGATION CONTROLLER</t>
  </si>
  <si>
    <t>PLANT ESTABLISHMENT PERIOD (90 DAYS)</t>
  </si>
  <si>
    <t>Base Cost Subtotal</t>
  </si>
  <si>
    <t>Construction Element #1
BIOFILTRATION SWALE</t>
  </si>
  <si>
    <t>EXCAVATION</t>
  </si>
  <si>
    <t>CY</t>
  </si>
  <si>
    <t>SIDEWALK UNDERDRAIN (GS-5.04a)</t>
  </si>
  <si>
    <t>EA</t>
  </si>
  <si>
    <t>REMOVE AND INSTALL SALVAGED CHAIN LINK FENCE</t>
  </si>
  <si>
    <t>GROUTED RIP RAP</t>
  </si>
  <si>
    <t>CUTOFF WALL</t>
  </si>
  <si>
    <t>AMENDED SOIL - DISPERSION SWALE</t>
  </si>
  <si>
    <t>DRAINAGE DITCH, TYPE B (D-75)</t>
  </si>
  <si>
    <t>BIORETENTION FILTER MEDIA</t>
  </si>
  <si>
    <t>RESERVOIR LAYER</t>
  </si>
  <si>
    <t>30 MIL PLASTIC LINER</t>
  </si>
  <si>
    <t>SF</t>
  </si>
  <si>
    <t>8" PERFORATED PVC PIPE</t>
  </si>
  <si>
    <t>8" PVC PIPE</t>
  </si>
  <si>
    <t>ROCK SPLASH PAD</t>
  </si>
  <si>
    <t>CONCRETE CHECK DAMS</t>
  </si>
  <si>
    <t>RIP RAP ENERGY DISSIPATOR</t>
  </si>
  <si>
    <t>TON</t>
  </si>
  <si>
    <t>APRON &amp; LOW FLOW</t>
  </si>
  <si>
    <t>MINOR CONCRETE (MINOR STRUCTURE)</t>
  </si>
  <si>
    <t>IRRIGATION SYSTEM</t>
  </si>
  <si>
    <t>SOIL AMENDMENT (UPLAND NATIVE)</t>
  </si>
  <si>
    <t>1 GALLON SHRUB  (BIOSWALE)</t>
  </si>
  <si>
    <t>1 GALLON SHRUB (UPLAND NATIVE)</t>
  </si>
  <si>
    <t>PEDESTRIAN CROSSING</t>
  </si>
  <si>
    <t>WOOD MULCH (UPLAND NATIVE AND BASIN AREA) - 3" DEPTH</t>
  </si>
  <si>
    <t>SOIL PREPARATION</t>
  </si>
  <si>
    <t>TEMPORARY PROTECTION FENCE</t>
  </si>
  <si>
    <t>PUMP BUILDING</t>
  </si>
  <si>
    <t>Biofiltration Swale Subtotal</t>
  </si>
  <si>
    <t>Construction Element #2
BIOFILTRATION BASIN</t>
  </si>
  <si>
    <t>MINOR CONCRETE (MINOR STRUCTURE) - 18X18 CB</t>
  </si>
  <si>
    <t>12" PVC PIPE</t>
  </si>
  <si>
    <t>MINOR CONCRETE (MINOR STRUCTURE) - 24X24 CB</t>
  </si>
  <si>
    <t>RECONSTRUCT CONCRETE SPILLWAY</t>
  </si>
  <si>
    <t>HYDROSEED</t>
  </si>
  <si>
    <t>MULCH - 3" DEPTH</t>
  </si>
  <si>
    <t>MOW CURB</t>
  </si>
  <si>
    <t>FENCING</t>
  </si>
  <si>
    <t>8' CHAIN LINK FENCE GATE</t>
  </si>
  <si>
    <t xml:space="preserve">1 GALLON SHRUB </t>
  </si>
  <si>
    <t>Biofiltration Basin Subtotal</t>
  </si>
  <si>
    <t>Construction Element #3
CISTERN</t>
  </si>
  <si>
    <t>TRENCH SAFETY &amp; SHORING</t>
  </si>
  <si>
    <t>MINOR CONCRETE (MINOR STRUCTURE) - TYPE A-4 CLEANOUT</t>
  </si>
  <si>
    <t>CISTERN VAULT - STORMTECH CHAMBERS</t>
  </si>
  <si>
    <t>CISTERN LINER - 30 MIL THERMOPLASTIC</t>
  </si>
  <si>
    <t>SY</t>
  </si>
  <si>
    <t>CISTERN BACKFILL - STONE AND DIRT</t>
  </si>
  <si>
    <t>PRE-TREATMENT - ARCADIA AR5PC</t>
  </si>
  <si>
    <t>TREATMENT SYSTEM</t>
  </si>
  <si>
    <t>PRE-FABRICATED WOOD SHED (SEMI-CUSTOM)</t>
  </si>
  <si>
    <t>12" HDPE PIPE</t>
  </si>
  <si>
    <t>TURF - OVER SEED</t>
  </si>
  <si>
    <t>ELECTRICAL INSTALLATION</t>
  </si>
  <si>
    <t>Cistern Subtotal</t>
  </si>
  <si>
    <t>Construction Element #4
PERMEABLE PAVEMENT</t>
  </si>
  <si>
    <t>PERVIOUS CONCRETE PAVEMENT</t>
  </si>
  <si>
    <t>MINOR CONCRETE (CURB)</t>
  </si>
  <si>
    <t>MIRAFI 500X OR EQUIVALENT</t>
  </si>
  <si>
    <t>GEOSYNTHETIC FILTER FABRIC</t>
  </si>
  <si>
    <t>CLASS 2 AGGREGATE BASE (CY)</t>
  </si>
  <si>
    <t>CLEANOUT (GS 5.11)</t>
  </si>
  <si>
    <t>STRIPING</t>
  </si>
  <si>
    <t>Permeable Pavers Subtotal</t>
  </si>
  <si>
    <t>Construction Element #5
PATHWAY / MAINTENANCE ACCESS</t>
  </si>
  <si>
    <t>DECOMPOSED GRANITE</t>
  </si>
  <si>
    <t>REMOVE AND RELOCATE SALVAGED BALLFIELD FENCING</t>
  </si>
  <si>
    <t>Pathway / Maintenance Access Subtotal</t>
  </si>
  <si>
    <t>Construction Element #6
LIGHTING</t>
  </si>
  <si>
    <t>SOLAR LIGHT TOWER (LTS 160-750) or EQUIVALENT SOLAR LIGHTING SOLUTION</t>
  </si>
  <si>
    <t>Lighting Subtotal</t>
  </si>
  <si>
    <t>Construction Element #7
SHADE TREES</t>
  </si>
  <si>
    <t>24" BOX TREE</t>
  </si>
  <si>
    <t>Shade Trees Subtotal</t>
  </si>
  <si>
    <t xml:space="preserve">Construction Element #8
UPPER FRUIT FOREST </t>
  </si>
  <si>
    <t xml:space="preserve">15 GALLON TREE </t>
  </si>
  <si>
    <t>WOOD MULCH - 3" DEPTH</t>
  </si>
  <si>
    <t>Upper Fruit Forest Subtotal</t>
  </si>
  <si>
    <t>Construction Element #9
LOWER FRUIT FOREST</t>
  </si>
  <si>
    <t>Lower Fruit Forest Subtotal</t>
  </si>
  <si>
    <t>PROJECT TOTAL</t>
  </si>
  <si>
    <t>Use this sheet to adjust historical cost data to PRESENT DAY COST</t>
  </si>
  <si>
    <t>From the Caltrans Price Index for Selected Highway Construction Items - Fourth Quarter Ending Dec 31, 2020</t>
  </si>
  <si>
    <t xml:space="preserve">More Info: </t>
  </si>
  <si>
    <t>https://sv08data.dot.ca.gov/contractcost/resources.html</t>
  </si>
  <si>
    <t>Indexes:</t>
  </si>
  <si>
    <t>https://sv08data.dot.ca.gov/contractcost/indexes.php</t>
  </si>
  <si>
    <t>Current Index [I©]=</t>
  </si>
  <si>
    <t>Year</t>
  </si>
  <si>
    <t>Historical Index</t>
  </si>
  <si>
    <t>Adjustment Factor</t>
  </si>
  <si>
    <t>These adjustments reflect cost for Q4 2020. Update the index quarterly to remain accurate.</t>
  </si>
  <si>
    <t>https://sv08data.dot.ca.gov/contractcost/help.html#mprices</t>
  </si>
  <si>
    <t>&lt;2021 not yet available, kept as 100</t>
  </si>
  <si>
    <t>130650</t>
  </si>
  <si>
    <t>TEMPORARY GRAVEL BAG BERM</t>
  </si>
  <si>
    <t>130710</t>
  </si>
  <si>
    <t>TEMPORARY CONSTRUCTION ENTRANCE</t>
  </si>
  <si>
    <t xml:space="preserve">ITEM CODE </t>
  </si>
  <si>
    <t>ADJUST CLEANOUT TO GRADE</t>
  </si>
  <si>
    <t>CONSTRUCTION COST</t>
  </si>
  <si>
    <t>TEMPORARY FIBER ROLLS</t>
  </si>
  <si>
    <t>QTY</t>
  </si>
  <si>
    <t>Fiber rolls required for erosion control</t>
  </si>
  <si>
    <t>ROUND UP</t>
  </si>
  <si>
    <t>GRAVEL BAGS</t>
  </si>
  <si>
    <t>LENGTH</t>
  </si>
  <si>
    <t>Gravel bags required for erosion control</t>
  </si>
  <si>
    <t>TRENCH RESURFACING</t>
  </si>
  <si>
    <t>Trench resufacing with conflicting utilities</t>
  </si>
  <si>
    <t>*Current place holder, more detail to be provided for 70%</t>
  </si>
  <si>
    <t>0001336</t>
  </si>
  <si>
    <t>SIDEWALK UNDERDRAIN</t>
  </si>
  <si>
    <t xml:space="preserve">NO. </t>
  </si>
  <si>
    <t>Sidewalk reverse underdrain, taken from County of San Diego bid history</t>
  </si>
  <si>
    <t>0000523</t>
  </si>
  <si>
    <t>CLEANOUT</t>
  </si>
  <si>
    <t>TOTAL</t>
  </si>
  <si>
    <t>A4 Cleanout, will be taken from County of San Diego Bid history</t>
  </si>
  <si>
    <t xml:space="preserve">EA </t>
  </si>
  <si>
    <t>A6 Cleanout, will be taken from County of San Diego Bid history</t>
  </si>
  <si>
    <t>CHECK DAM BASIN AREA</t>
  </si>
  <si>
    <t>Check dam area spacing based on detail</t>
  </si>
  <si>
    <t>0002475</t>
  </si>
  <si>
    <t>CATCH BASIN</t>
  </si>
  <si>
    <t>NO.</t>
  </si>
  <si>
    <t>24"x24" Brooks Box catch basin, taken from County Bid history, rounded</t>
  </si>
  <si>
    <t>0000618/ 0000621/ 0000622/ 0000625/ 0000626/ 0000635/ 0001571</t>
  </si>
  <si>
    <t>INLET</t>
  </si>
  <si>
    <t>TYPE B (L=4') INLET</t>
  </si>
  <si>
    <t>TYPE B (L=6') INLET</t>
  </si>
  <si>
    <t>TYPE B (L=7') INLET</t>
  </si>
  <si>
    <t>TYPE B (L=10') INLET</t>
  </si>
  <si>
    <t>TYPE B (L=14') INLET</t>
  </si>
  <si>
    <t>TYPE B (L=15') INLET</t>
  </si>
  <si>
    <t>TYPE B (L=21') INLET</t>
  </si>
  <si>
    <t>*CY is used in Caltrans, however EA will be used to match County Bid history, each item shall have it's own line item</t>
  </si>
  <si>
    <t>EACH INLET WILL BE ITS OWN LINE ITEM</t>
  </si>
  <si>
    <t>65010208</t>
  </si>
  <si>
    <t>STORM DRAIN PIPE</t>
  </si>
  <si>
    <t xml:space="preserve">18" Storm drain RCP </t>
  </si>
  <si>
    <t xml:space="preserve">ROUND UP </t>
  </si>
  <si>
    <t>DESPERSION AREA</t>
  </si>
  <si>
    <t>Retention area used to filter storm water</t>
  </si>
  <si>
    <t>BIOFILTRATION AREA</t>
  </si>
  <si>
    <t xml:space="preserve">Contains multiple media layers in order to filtrate storm water </t>
  </si>
  <si>
    <t>TEMPORARY EROSION CONTROL</t>
  </si>
  <si>
    <t>% INCREASE</t>
  </si>
  <si>
    <t>Erosion control inside project</t>
  </si>
  <si>
    <t>TEMPORARY COVER</t>
  </si>
  <si>
    <t>Cover area for BMP areas</t>
  </si>
  <si>
    <t>Erosion control process for BMP areas</t>
  </si>
  <si>
    <t>680903</t>
  </si>
  <si>
    <t>8" PVC (NON PERFORATED)</t>
  </si>
  <si>
    <t>8" PVC non perforated for pipe underneath driveways</t>
  </si>
  <si>
    <t>680905</t>
  </si>
  <si>
    <t>8" PVC PIPE PERFORATED</t>
  </si>
  <si>
    <t>8" PVC perforated for pipe underneath dispersion and biofiltration areas, taken from County of San Diego bid history,rounded up from 6" perforated pipe</t>
  </si>
  <si>
    <t>0000330X01</t>
  </si>
  <si>
    <t>BASIN CLEANOUT</t>
  </si>
  <si>
    <t>Cleanout connected to underdrain pipe for BMP areas, taken from County Bid history rounded up</t>
  </si>
  <si>
    <t>100113</t>
  </si>
  <si>
    <t>ROADWAY EXCAVATION</t>
  </si>
  <si>
    <t>Export taken from County of San Diego Bid history</t>
  </si>
  <si>
    <t>20X11111</t>
  </si>
  <si>
    <t>ENGINEERED SOIL MEDIA</t>
  </si>
  <si>
    <t>SQFT</t>
  </si>
  <si>
    <t>HEIGHT</t>
  </si>
  <si>
    <t>18" based on BMP cross sections, taken from County of San Diego Bid history</t>
  </si>
  <si>
    <t>0000589</t>
  </si>
  <si>
    <t>GRAVEL LAYER</t>
  </si>
  <si>
    <t>Used in crushed rock bedding, taken from County of San Diego Bid history rounded up. Use 11" thickness based on BMP cross sections</t>
  </si>
  <si>
    <t>TOTAL OF 11" FOR RESERVOIR LAYER (GRAVEL LAYER)</t>
  </si>
  <si>
    <t>IMPERMEABLE LINER</t>
  </si>
  <si>
    <t>DEPTH</t>
  </si>
  <si>
    <r>
      <rPr>
        <b/>
        <sz val="10"/>
        <rFont val="Arial"/>
        <family val="2"/>
      </rPr>
      <t>SIDE OF BASIN.</t>
    </r>
    <r>
      <rPr>
        <sz val="10"/>
        <rFont val="Arial"/>
        <family val="2"/>
      </rPr>
      <t>Plastic liner to underline BMP areas, no liner present in City, County or, Caltrans bid history. Cost taken from existing projects given to the County</t>
    </r>
  </si>
  <si>
    <t xml:space="preserve">BOTTOM OF BASIN </t>
  </si>
  <si>
    <t>CHOKER LAYER</t>
  </si>
  <si>
    <t>Used in crushed rock bedding, taken from County of San Diego Bid history rounded up. Thickness of 4" from BMP cross section</t>
  </si>
  <si>
    <t>WOOD MULCH</t>
  </si>
  <si>
    <t>Used wood mulch for 3" layer for biofiltration and dispersion areas. Taken from BMP cross section</t>
  </si>
  <si>
    <t>130900</t>
  </si>
  <si>
    <t>TEMPORARY CONCRETE WASHOUT</t>
  </si>
  <si>
    <t>MA</t>
  </si>
  <si>
    <t>LINE</t>
  </si>
  <si>
    <t>NOTES</t>
  </si>
  <si>
    <t>STA.</t>
  </si>
  <si>
    <t>CYD</t>
  </si>
  <si>
    <t>"SD-163"</t>
  </si>
  <si>
    <t>481+00</t>
  </si>
  <si>
    <t>4855+00</t>
  </si>
  <si>
    <t>Type Y-1 AERIALLY DEPOSITED LEAD</t>
  </si>
  <si>
    <t>ROADWAY EXCAVATION TOTAL =</t>
  </si>
  <si>
    <t>NOTES:</t>
  </si>
  <si>
    <t>1.Measurements taken from lines in Microstation file 13337F_imp_65%_quantities.dgn</t>
  </si>
  <si>
    <t>ARC</t>
  </si>
  <si>
    <t>ND</t>
  </si>
  <si>
    <t>A/L Values</t>
  </si>
  <si>
    <t>ASPHALTIC EMULSION (FSC)</t>
  </si>
  <si>
    <t>A/L</t>
  </si>
  <si>
    <t>LENGTH (1)</t>
  </si>
  <si>
    <t>AREA</t>
  </si>
  <si>
    <t>HMA DIKE (TYPE A)</t>
  </si>
  <si>
    <t>STA</t>
  </si>
  <si>
    <t>OFF</t>
  </si>
  <si>
    <t>SQYD/LF</t>
  </si>
  <si>
    <t>SYD</t>
  </si>
  <si>
    <t>HMA DIKE (TYPE E)</t>
  </si>
  <si>
    <t>"R-1"</t>
  </si>
  <si>
    <t>477+10.52</t>
  </si>
  <si>
    <t>478+00.00</t>
  </si>
  <si>
    <t>LT</t>
  </si>
  <si>
    <t>HMA DIKE (TYPE F)</t>
  </si>
  <si>
    <t>476+98.37</t>
  </si>
  <si>
    <t>480+85.47</t>
  </si>
  <si>
    <t>RT</t>
  </si>
  <si>
    <t>HMA DIKE (TYPE C)</t>
  </si>
  <si>
    <t>480+84.02</t>
  </si>
  <si>
    <t>481+86.09</t>
  </si>
  <si>
    <t>HMA DIKE (TYPE D)</t>
  </si>
  <si>
    <t>482+65.96</t>
  </si>
  <si>
    <t>487+50.00</t>
  </si>
  <si>
    <t xml:space="preserve">Values calculated using the total cross sectional length of the top of dike </t>
  </si>
  <si>
    <t>"R-1"/"SD-163"</t>
  </si>
  <si>
    <t>491+07.37</t>
  </si>
  <si>
    <t>"R-2"</t>
  </si>
  <si>
    <t>482+98.10</t>
  </si>
  <si>
    <t>486+70.83</t>
  </si>
  <si>
    <t>476+59.54</t>
  </si>
  <si>
    <t>476+99.53</t>
  </si>
  <si>
    <t>479+09.35</t>
  </si>
  <si>
    <t>479+29.91</t>
  </si>
  <si>
    <t>479+87.37</t>
  </si>
  <si>
    <t>486+47.07</t>
  </si>
  <si>
    <t>482+50.00</t>
  </si>
  <si>
    <t>482+75.00</t>
  </si>
  <si>
    <t>483+37.50</t>
  </si>
  <si>
    <t>487+70.00</t>
  </si>
  <si>
    <t>491+49.57</t>
  </si>
  <si>
    <t>492+12.49</t>
  </si>
  <si>
    <t>494+40.00</t>
  </si>
  <si>
    <t>"KMR"</t>
  </si>
  <si>
    <t>465+77.27</t>
  </si>
  <si>
    <t>472+00.00</t>
  </si>
  <si>
    <t>AREA (2)</t>
  </si>
  <si>
    <t>DIKE</t>
  </si>
  <si>
    <t>SHLD</t>
  </si>
  <si>
    <t>R-7 LT SHLD</t>
  </si>
  <si>
    <t>R-7 RT GORE</t>
  </si>
  <si>
    <t>R-7 RT SHLD</t>
  </si>
  <si>
    <t>R-1 LT SHLD</t>
  </si>
  <si>
    <t>R-1 RT SHLD</t>
  </si>
  <si>
    <t>R-1 RT GORE</t>
  </si>
  <si>
    <t>R-1 MVP</t>
  </si>
  <si>
    <t>R-2 LT SHLD</t>
  </si>
  <si>
    <t>R-2 RT SHLD</t>
  </si>
  <si>
    <t>R-2 RT GORE</t>
  </si>
  <si>
    <t>R-2 MVP 1</t>
  </si>
  <si>
    <t>R-2 MVP 2</t>
  </si>
  <si>
    <t>SD-163 LT SHLD 1</t>
  </si>
  <si>
    <t>SD-163 LT SHLD 2</t>
  </si>
  <si>
    <t>SD-163 MVP</t>
  </si>
  <si>
    <t>1. Measurements taken from lines in Microstation file 15822_imp_final_quantities.dgn</t>
  </si>
  <si>
    <t>2. Asphaltic Emulsion (Fog Seal Coat) applied at 0.1 gal/syd @ 8.33 lb/gal per Standard Specifications.</t>
  </si>
  <si>
    <t>TEMPORARY DIKE QUANTITIES</t>
  </si>
  <si>
    <t>"TR-1"</t>
  </si>
  <si>
    <t>10+00.00</t>
  </si>
  <si>
    <t>11+20.12</t>
  </si>
  <si>
    <t>Rt</t>
  </si>
  <si>
    <t>HMA Dike (Type A)</t>
  </si>
  <si>
    <t>"TR-2"</t>
  </si>
  <si>
    <t>10+69.01</t>
  </si>
  <si>
    <t>11+50.00</t>
  </si>
  <si>
    <t>Lt</t>
  </si>
  <si>
    <t>HMA Dike (Type E)</t>
  </si>
  <si>
    <t>"CMB"</t>
  </si>
  <si>
    <t>91+70.52</t>
  </si>
  <si>
    <t>91+70.50</t>
  </si>
  <si>
    <t>92+53.76</t>
  </si>
  <si>
    <t>92+53.88</t>
  </si>
  <si>
    <t>93+01.79</t>
  </si>
  <si>
    <t>95+39.52</t>
  </si>
  <si>
    <t>Rt/Lt</t>
  </si>
  <si>
    <t>IRRIGATION CONDUIT</t>
  </si>
  <si>
    <t>SHEET NO.</t>
  </si>
  <si>
    <t>SIDE</t>
  </si>
  <si>
    <t>PLASTIC PIPE SUPPLY LINE</t>
  </si>
  <si>
    <t>ELECTRIC CONDUIT FOR CNC</t>
  </si>
  <si>
    <t>CORRUGATED HIGH DENSITY POLYETHYLENE PIPE</t>
  </si>
  <si>
    <t>CONDUIT SIZE (IN)</t>
  </si>
  <si>
    <t>8"</t>
  </si>
  <si>
    <t>10"</t>
  </si>
  <si>
    <t>SIZE (IN)</t>
  </si>
  <si>
    <t>LENGTH (LF)</t>
  </si>
  <si>
    <t>L-2</t>
  </si>
  <si>
    <t>"R-7A"</t>
  </si>
  <si>
    <t>477+63</t>
  </si>
  <si>
    <t>LT/RT</t>
  </si>
  <si>
    <t>3"</t>
  </si>
  <si>
    <t>2"</t>
  </si>
  <si>
    <t>96+50</t>
  </si>
  <si>
    <t>(2) 2"</t>
  </si>
  <si>
    <t xml:space="preserve">- </t>
  </si>
  <si>
    <t>"R-2A"</t>
  </si>
  <si>
    <t>481+47</t>
  </si>
  <si>
    <t>486+60</t>
  </si>
  <si>
    <t>"R-1A"</t>
  </si>
  <si>
    <t>482+40</t>
  </si>
  <si>
    <t>USE =</t>
  </si>
  <si>
    <t>TREATED WOOD WASTE</t>
  </si>
  <si>
    <t>WEIGHT</t>
  </si>
  <si>
    <t>LB</t>
  </si>
  <si>
    <t>477+85.73</t>
  </si>
  <si>
    <t>488+86.57</t>
  </si>
  <si>
    <t>REMOVE ROADSIDE SIGNS</t>
  </si>
  <si>
    <t>1. Measurements taken from Hand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</si>
</sst>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"/>
    <numFmt numFmtId="165" formatCode="&quot;$&quot;#,##0.00"/>
    <numFmt numFmtId="166" formatCode="00\+00"/>
    <numFmt numFmtId="167" formatCode="00\+00.0"/>
    <numFmt numFmtId="168" formatCode="0.0"/>
    <numFmt numFmtId="169" formatCode="0.000"/>
    <numFmt numFmtId="170" formatCode="#,##0.0"/>
    <numFmt numFmtId="171" formatCode="0.0%"/>
    <numFmt numFmtId="172" formatCode="_(* #,##0_);_(* \(#,##0\);_(* &quot;-&quot;??_);_(@_)"/>
  </numFmts>
  <fonts count="2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Times New Roman"/>
      <family val="2"/>
    </font>
    <font>
      <b/>
      <sz val="12"/>
      <name val="Aptos"/>
      <family val="2"/>
    </font>
    <font>
      <sz val="12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i/>
      <sz val="10"/>
      <name val="Aptos"/>
      <family val="2"/>
    </font>
    <font>
      <sz val="10"/>
      <color rgb="FFFF0000"/>
      <name val="Aptos"/>
      <family val="2"/>
    </font>
    <font>
      <sz val="10"/>
      <color theme="1"/>
      <name val="Aptos"/>
      <family val="2"/>
    </font>
    <font>
      <b/>
      <i/>
      <sz val="10"/>
      <name val="Aptos"/>
      <family val="2"/>
    </font>
    <font>
      <sz val="10"/>
      <color theme="9"/>
      <name val="Aptos"/>
      <family val="2"/>
    </font>
    <font>
      <sz val="8"/>
      <name val="Arial"/>
      <family val="2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4" fillId="2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5" fontId="4" fillId="2" borderId="0"/>
    <xf numFmtId="0" fontId="4" fillId="2" borderId="0"/>
    <xf numFmtId="2" fontId="4" fillId="2" borderId="0"/>
    <xf numFmtId="0" fontId="10" fillId="2" borderId="0"/>
    <xf numFmtId="0" fontId="5" fillId="2" borderId="0"/>
    <xf numFmtId="0" fontId="13" fillId="0" borderId="0" applyNumberForma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1"/>
    <xf numFmtId="0" fontId="1" fillId="0" borderId="0"/>
    <xf numFmtId="0" fontId="1" fillId="0" borderId="0"/>
  </cellStyleXfs>
  <cellXfs count="530">
    <xf numFmtId="0" fontId="0" fillId="0" borderId="0" xfId="0"/>
    <xf numFmtId="0" fontId="2" fillId="0" borderId="0" xfId="0" applyFont="1"/>
    <xf numFmtId="0" fontId="0" fillId="0" borderId="2" xfId="0" applyBorder="1"/>
    <xf numFmtId="0" fontId="5" fillId="0" borderId="0" xfId="0" applyFont="1"/>
    <xf numFmtId="0" fontId="0" fillId="0" borderId="3" xfId="0" applyBorder="1"/>
    <xf numFmtId="0" fontId="2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/>
    <xf numFmtId="0" fontId="0" fillId="0" borderId="5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0" fillId="0" borderId="11" xfId="0" applyBorder="1"/>
    <xf numFmtId="0" fontId="5" fillId="0" borderId="12" xfId="0" applyFont="1" applyBorder="1"/>
    <xf numFmtId="0" fontId="5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5" xfId="0" applyFont="1" applyBorder="1"/>
    <xf numFmtId="14" fontId="0" fillId="0" borderId="17" xfId="0" applyNumberFormat="1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0" borderId="20" xfId="0" applyBorder="1"/>
    <xf numFmtId="0" fontId="0" fillId="0" borderId="21" xfId="0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2" fillId="0" borderId="26" xfId="0" applyFont="1" applyBorder="1"/>
    <xf numFmtId="0" fontId="6" fillId="0" borderId="26" xfId="0" applyFont="1" applyBorder="1" applyAlignment="1">
      <alignment horizontal="right"/>
    </xf>
    <xf numFmtId="0" fontId="6" fillId="0" borderId="26" xfId="0" applyFont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168" fontId="2" fillId="0" borderId="0" xfId="0" applyNumberFormat="1" applyFont="1" applyAlignment="1">
      <alignment horizontal="center"/>
    </xf>
    <xf numFmtId="168" fontId="0" fillId="0" borderId="33" xfId="0" applyNumberFormat="1" applyBorder="1" applyAlignment="1">
      <alignment horizontal="center"/>
    </xf>
    <xf numFmtId="0" fontId="0" fillId="0" borderId="39" xfId="0" applyBorder="1"/>
    <xf numFmtId="0" fontId="5" fillId="0" borderId="15" xfId="0" applyFont="1" applyBorder="1"/>
    <xf numFmtId="0" fontId="0" fillId="0" borderId="40" xfId="0" applyBorder="1"/>
    <xf numFmtId="0" fontId="0" fillId="0" borderId="41" xfId="0" applyBorder="1"/>
    <xf numFmtId="1" fontId="0" fillId="0" borderId="42" xfId="0" applyNumberFormat="1" applyBorder="1" applyAlignment="1">
      <alignment horizontal="center"/>
    </xf>
    <xf numFmtId="0" fontId="0" fillId="0" borderId="43" xfId="0" applyBorder="1"/>
    <xf numFmtId="0" fontId="2" fillId="0" borderId="16" xfId="0" applyFont="1" applyBorder="1" applyAlignment="1">
      <alignment horizontal="center"/>
    </xf>
    <xf numFmtId="168" fontId="2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8" fontId="2" fillId="0" borderId="0" xfId="0" applyNumberFormat="1" applyFont="1"/>
    <xf numFmtId="0" fontId="0" fillId="0" borderId="10" xfId="0" applyBorder="1"/>
    <xf numFmtId="167" fontId="0" fillId="0" borderId="10" xfId="0" applyNumberFormat="1" applyBorder="1" applyAlignment="1">
      <alignment horizontal="center"/>
    </xf>
    <xf numFmtId="169" fontId="0" fillId="0" borderId="10" xfId="0" applyNumberFormat="1" applyBorder="1"/>
    <xf numFmtId="169" fontId="0" fillId="0" borderId="10" xfId="0" applyNumberFormat="1" applyBorder="1" applyAlignment="1">
      <alignment horizontal="center"/>
    </xf>
    <xf numFmtId="166" fontId="0" fillId="0" borderId="44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168" fontId="0" fillId="0" borderId="33" xfId="0" applyNumberFormat="1" applyBorder="1"/>
    <xf numFmtId="168" fontId="0" fillId="0" borderId="10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26" xfId="0" applyFont="1" applyBorder="1" applyAlignment="1">
      <alignment horizontal="right"/>
    </xf>
    <xf numFmtId="166" fontId="0" fillId="0" borderId="33" xfId="0" applyNumberFormat="1" applyBorder="1" applyAlignment="1">
      <alignment horizontal="center"/>
    </xf>
    <xf numFmtId="0" fontId="0" fillId="0" borderId="46" xfId="0" applyBorder="1"/>
    <xf numFmtId="169" fontId="0" fillId="0" borderId="11" xfId="0" applyNumberFormat="1" applyBorder="1"/>
    <xf numFmtId="168" fontId="0" fillId="0" borderId="47" xfId="0" applyNumberFormat="1" applyBorder="1"/>
    <xf numFmtId="169" fontId="0" fillId="0" borderId="3" xfId="0" applyNumberFormat="1" applyBorder="1"/>
    <xf numFmtId="169" fontId="0" fillId="0" borderId="6" xfId="0" applyNumberFormat="1" applyBorder="1"/>
    <xf numFmtId="0" fontId="0" fillId="0" borderId="28" xfId="0" applyBorder="1"/>
    <xf numFmtId="0" fontId="2" fillId="0" borderId="10" xfId="0" applyFont="1" applyBorder="1" applyAlignment="1">
      <alignment horizontal="center"/>
    </xf>
    <xf numFmtId="166" fontId="0" fillId="0" borderId="48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3" xfId="0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7" xfId="0" applyNumberFormat="1" applyBorder="1" applyAlignment="1">
      <alignment horizontal="center"/>
    </xf>
    <xf numFmtId="168" fontId="0" fillId="0" borderId="28" xfId="0" applyNumberFormat="1" applyBorder="1" applyAlignment="1">
      <alignment horizontal="center"/>
    </xf>
    <xf numFmtId="0" fontId="2" fillId="0" borderId="28" xfId="0" applyFont="1" applyBorder="1"/>
    <xf numFmtId="2" fontId="2" fillId="0" borderId="0" xfId="0" applyNumberFormat="1" applyFont="1" applyAlignment="1">
      <alignment horizontal="center"/>
    </xf>
    <xf numFmtId="0" fontId="0" fillId="0" borderId="49" xfId="0" applyBorder="1"/>
    <xf numFmtId="0" fontId="0" fillId="0" borderId="50" xfId="0" applyBorder="1"/>
    <xf numFmtId="2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8" fontId="0" fillId="0" borderId="0" xfId="0" applyNumberFormat="1"/>
    <xf numFmtId="0" fontId="0" fillId="0" borderId="51" xfId="0" applyBorder="1" applyAlignment="1">
      <alignment horizontal="center"/>
    </xf>
    <xf numFmtId="168" fontId="0" fillId="0" borderId="4" xfId="0" applyNumberFormat="1" applyBorder="1"/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0" fontId="0" fillId="0" borderId="52" xfId="0" applyBorder="1"/>
    <xf numFmtId="168" fontId="0" fillId="0" borderId="11" xfId="0" applyNumberFormat="1" applyBorder="1" applyAlignment="1">
      <alignment horizontal="center"/>
    </xf>
    <xf numFmtId="0" fontId="0" fillId="0" borderId="1" xfId="0" applyBorder="1"/>
    <xf numFmtId="0" fontId="0" fillId="0" borderId="53" xfId="0" applyBorder="1"/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9" fontId="0" fillId="0" borderId="51" xfId="0" applyNumberForma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169" fontId="0" fillId="0" borderId="35" xfId="0" applyNumberFormat="1" applyBorder="1"/>
    <xf numFmtId="168" fontId="0" fillId="0" borderId="35" xfId="0" applyNumberFormat="1" applyBorder="1"/>
    <xf numFmtId="168" fontId="0" fillId="0" borderId="51" xfId="0" applyNumberFormat="1" applyBorder="1" applyAlignment="1">
      <alignment horizontal="center"/>
    </xf>
    <xf numFmtId="168" fontId="0" fillId="0" borderId="55" xfId="0" applyNumberFormat="1" applyBorder="1" applyAlignment="1">
      <alignment horizontal="center"/>
    </xf>
    <xf numFmtId="168" fontId="2" fillId="0" borderId="26" xfId="0" applyNumberFormat="1" applyFont="1" applyBorder="1"/>
    <xf numFmtId="1" fontId="0" fillId="0" borderId="58" xfId="0" applyNumberFormat="1" applyBorder="1" applyAlignment="1">
      <alignment horizontal="center"/>
    </xf>
    <xf numFmtId="0" fontId="0" fillId="0" borderId="7" xfId="0" applyBorder="1"/>
    <xf numFmtId="0" fontId="0" fillId="0" borderId="22" xfId="0" applyBorder="1"/>
    <xf numFmtId="169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169" fontId="0" fillId="0" borderId="0" xfId="0" applyNumberFormat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27" xfId="0" applyBorder="1"/>
    <xf numFmtId="2" fontId="0" fillId="0" borderId="5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0" fillId="0" borderId="65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66" xfId="0" applyNumberFormat="1" applyBorder="1" applyAlignment="1">
      <alignment horizontal="center"/>
    </xf>
    <xf numFmtId="1" fontId="0" fillId="0" borderId="67" xfId="0" applyNumberFormat="1" applyBorder="1" applyAlignment="1">
      <alignment horizontal="center"/>
    </xf>
    <xf numFmtId="1" fontId="0" fillId="0" borderId="68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9" fontId="0" fillId="0" borderId="0" xfId="0" applyNumberFormat="1"/>
    <xf numFmtId="0" fontId="4" fillId="0" borderId="0" xfId="19"/>
    <xf numFmtId="0" fontId="2" fillId="0" borderId="0" xfId="19" applyFont="1"/>
    <xf numFmtId="0" fontId="4" fillId="0" borderId="10" xfId="19" applyBorder="1" applyAlignment="1">
      <alignment horizontal="center"/>
    </xf>
    <xf numFmtId="166" fontId="4" fillId="0" borderId="10" xfId="19" applyNumberFormat="1" applyBorder="1" applyAlignment="1">
      <alignment horizontal="center"/>
    </xf>
    <xf numFmtId="0" fontId="4" fillId="0" borderId="15" xfId="19" applyBorder="1"/>
    <xf numFmtId="0" fontId="4" fillId="0" borderId="25" xfId="19" applyBorder="1"/>
    <xf numFmtId="0" fontId="4" fillId="0" borderId="26" xfId="19" applyBorder="1"/>
    <xf numFmtId="0" fontId="2" fillId="0" borderId="26" xfId="19" applyFont="1" applyBorder="1"/>
    <xf numFmtId="165" fontId="2" fillId="0" borderId="27" xfId="19" applyNumberFormat="1" applyFont="1" applyBorder="1" applyAlignment="1">
      <alignment horizontal="center"/>
    </xf>
    <xf numFmtId="0" fontId="2" fillId="0" borderId="28" xfId="19" applyFont="1" applyBorder="1" applyAlignment="1">
      <alignment horizontal="center"/>
    </xf>
    <xf numFmtId="0" fontId="4" fillId="0" borderId="28" xfId="19" applyBorder="1" applyAlignment="1">
      <alignment horizontal="center"/>
    </xf>
    <xf numFmtId="0" fontId="2" fillId="0" borderId="16" xfId="19" applyFont="1" applyBorder="1" applyAlignment="1">
      <alignment horizontal="center"/>
    </xf>
    <xf numFmtId="166" fontId="4" fillId="0" borderId="44" xfId="19" applyNumberFormat="1" applyBorder="1" applyAlignment="1">
      <alignment horizontal="center"/>
    </xf>
    <xf numFmtId="0" fontId="2" fillId="0" borderId="26" xfId="19" applyFont="1" applyBorder="1" applyAlignment="1">
      <alignment horizontal="right"/>
    </xf>
    <xf numFmtId="166" fontId="4" fillId="0" borderId="51" xfId="19" applyNumberFormat="1" applyBorder="1" applyAlignment="1">
      <alignment horizontal="center"/>
    </xf>
    <xf numFmtId="0" fontId="4" fillId="0" borderId="51" xfId="19" applyBorder="1" applyAlignment="1">
      <alignment horizontal="center" vertical="center"/>
    </xf>
    <xf numFmtId="0" fontId="4" fillId="0" borderId="10" xfId="19" applyBorder="1" applyAlignment="1">
      <alignment horizontal="center" vertical="center"/>
    </xf>
    <xf numFmtId="0" fontId="4" fillId="0" borderId="44" xfId="19" applyBorder="1" applyAlignment="1">
      <alignment horizontal="center" vertical="center"/>
    </xf>
    <xf numFmtId="0" fontId="4" fillId="0" borderId="0" xfId="16"/>
    <xf numFmtId="0" fontId="2" fillId="0" borderId="3" xfId="16" applyFont="1" applyBorder="1"/>
    <xf numFmtId="0" fontId="2" fillId="0" borderId="0" xfId="16" applyFont="1" applyAlignment="1">
      <alignment horizontal="center"/>
    </xf>
    <xf numFmtId="0" fontId="4" fillId="0" borderId="16" xfId="16" applyBorder="1"/>
    <xf numFmtId="0" fontId="4" fillId="0" borderId="33" xfId="16" applyBorder="1" applyAlignment="1">
      <alignment horizontal="center"/>
    </xf>
    <xf numFmtId="0" fontId="4" fillId="0" borderId="33" xfId="16" applyBorder="1"/>
    <xf numFmtId="0" fontId="4" fillId="0" borderId="43" xfId="16" applyBorder="1"/>
    <xf numFmtId="0" fontId="0" fillId="3" borderId="0" xfId="0" applyFill="1"/>
    <xf numFmtId="164" fontId="2" fillId="3" borderId="1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165" fontId="0" fillId="3" borderId="10" xfId="0" applyNumberFormat="1" applyFill="1" applyBorder="1" applyAlignment="1">
      <alignment horizontal="right"/>
    </xf>
    <xf numFmtId="165" fontId="0" fillId="3" borderId="10" xfId="0" applyNumberFormat="1" applyFill="1" applyBorder="1"/>
    <xf numFmtId="0" fontId="7" fillId="3" borderId="0" xfId="0" applyFont="1" applyFill="1"/>
    <xf numFmtId="164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3" fontId="0" fillId="3" borderId="10" xfId="0" applyNumberFormat="1" applyFill="1" applyBorder="1" applyAlignment="1">
      <alignment horizontal="center" vertical="center"/>
    </xf>
    <xf numFmtId="165" fontId="0" fillId="3" borderId="10" xfId="0" applyNumberFormat="1" applyFill="1" applyBorder="1" applyAlignment="1">
      <alignment horizontal="right" vertical="center"/>
    </xf>
    <xf numFmtId="0" fontId="0" fillId="3" borderId="10" xfId="0" applyFill="1" applyBorder="1" applyAlignment="1">
      <alignment vertical="center"/>
    </xf>
    <xf numFmtId="3" fontId="0" fillId="3" borderId="10" xfId="0" applyNumberFormat="1" applyFill="1" applyBorder="1" applyAlignment="1">
      <alignment horizontal="center"/>
    </xf>
    <xf numFmtId="170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vertical="center" wrapText="1"/>
    </xf>
    <xf numFmtId="0" fontId="0" fillId="3" borderId="51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/>
    </xf>
    <xf numFmtId="165" fontId="0" fillId="3" borderId="51" xfId="0" applyNumberFormat="1" applyFill="1" applyBorder="1" applyAlignment="1">
      <alignment horizontal="right"/>
    </xf>
    <xf numFmtId="164" fontId="0" fillId="3" borderId="51" xfId="0" applyNumberFormat="1" applyFill="1" applyBorder="1" applyAlignment="1">
      <alignment horizontal="center" vertical="center"/>
    </xf>
    <xf numFmtId="0" fontId="0" fillId="3" borderId="51" xfId="0" applyFill="1" applyBorder="1" applyAlignment="1">
      <alignment vertical="center" wrapText="1"/>
    </xf>
    <xf numFmtId="3" fontId="0" fillId="3" borderId="51" xfId="0" applyNumberFormat="1" applyFill="1" applyBorder="1" applyAlignment="1">
      <alignment horizontal="center"/>
    </xf>
    <xf numFmtId="165" fontId="0" fillId="3" borderId="51" xfId="0" applyNumberFormat="1" applyFill="1" applyBorder="1" applyAlignment="1">
      <alignment horizontal="right" vertical="center"/>
    </xf>
    <xf numFmtId="0" fontId="14" fillId="3" borderId="0" xfId="0" applyFont="1" applyFill="1"/>
    <xf numFmtId="0" fontId="0" fillId="3" borderId="28" xfId="0" applyFill="1" applyBorder="1" applyAlignment="1">
      <alignment horizontal="center"/>
    </xf>
    <xf numFmtId="165" fontId="0" fillId="3" borderId="28" xfId="0" applyNumberFormat="1" applyFill="1" applyBorder="1" applyAlignment="1">
      <alignment horizontal="right"/>
    </xf>
    <xf numFmtId="0" fontId="0" fillId="3" borderId="44" xfId="0" applyFill="1" applyBorder="1" applyAlignment="1">
      <alignment horizontal="center"/>
    </xf>
    <xf numFmtId="165" fontId="0" fillId="3" borderId="44" xfId="0" applyNumberForma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1" xfId="0" applyFill="1" applyBorder="1" applyAlignment="1">
      <alignment horizontal="right"/>
    </xf>
    <xf numFmtId="0" fontId="0" fillId="3" borderId="3" xfId="0" applyFill="1" applyBorder="1"/>
    <xf numFmtId="0" fontId="0" fillId="3" borderId="45" xfId="0" applyFill="1" applyBorder="1" applyAlignment="1">
      <alignment horizontal="right"/>
    </xf>
    <xf numFmtId="0" fontId="0" fillId="3" borderId="6" xfId="0" applyFill="1" applyBorder="1"/>
    <xf numFmtId="0" fontId="0" fillId="3" borderId="4" xfId="0" applyFill="1" applyBorder="1"/>
    <xf numFmtId="0" fontId="0" fillId="3" borderId="31" xfId="0" applyFill="1" applyBorder="1" applyAlignment="1">
      <alignment horizontal="center"/>
    </xf>
    <xf numFmtId="165" fontId="2" fillId="3" borderId="10" xfId="0" applyNumberFormat="1" applyFont="1" applyFill="1" applyBorder="1"/>
    <xf numFmtId="0" fontId="0" fillId="3" borderId="0" xfId="0" applyFill="1" applyAlignment="1">
      <alignment horizontal="center"/>
    </xf>
    <xf numFmtId="0" fontId="2" fillId="0" borderId="23" xfId="19" applyFont="1" applyBorder="1" applyAlignment="1">
      <alignment horizontal="left"/>
    </xf>
    <xf numFmtId="44" fontId="2" fillId="0" borderId="0" xfId="19" applyNumberFormat="1" applyFont="1" applyAlignment="1">
      <alignment horizontal="center"/>
    </xf>
    <xf numFmtId="44" fontId="2" fillId="0" borderId="26" xfId="19" applyNumberFormat="1" applyFont="1" applyBorder="1" applyAlignment="1">
      <alignment horizontal="center"/>
    </xf>
    <xf numFmtId="0" fontId="5" fillId="0" borderId="69" xfId="0" applyFont="1" applyBorder="1"/>
    <xf numFmtId="0" fontId="5" fillId="0" borderId="70" xfId="0" applyFont="1" applyBorder="1"/>
    <xf numFmtId="0" fontId="0" fillId="0" borderId="70" xfId="0" applyBorder="1"/>
    <xf numFmtId="0" fontId="0" fillId="0" borderId="71" xfId="0" applyBorder="1"/>
    <xf numFmtId="0" fontId="4" fillId="0" borderId="0" xfId="20"/>
    <xf numFmtId="0" fontId="4" fillId="0" borderId="19" xfId="19" applyBorder="1" applyAlignment="1">
      <alignment horizontal="center"/>
    </xf>
    <xf numFmtId="0" fontId="4" fillId="0" borderId="21" xfId="19" applyBorder="1" applyAlignment="1">
      <alignment horizontal="center"/>
    </xf>
    <xf numFmtId="43" fontId="0" fillId="0" borderId="0" xfId="1" applyFont="1"/>
    <xf numFmtId="0" fontId="4" fillId="0" borderId="39" xfId="16" applyBorder="1" applyAlignment="1">
      <alignment horizontal="left" vertical="top"/>
    </xf>
    <xf numFmtId="0" fontId="4" fillId="0" borderId="9" xfId="16" applyBorder="1" applyAlignment="1">
      <alignment vertical="top"/>
    </xf>
    <xf numFmtId="0" fontId="4" fillId="0" borderId="5" xfId="16" applyBorder="1" applyAlignment="1">
      <alignment vertical="top"/>
    </xf>
    <xf numFmtId="0" fontId="4" fillId="0" borderId="45" xfId="16" applyBorder="1" applyAlignment="1">
      <alignment vertical="top"/>
    </xf>
    <xf numFmtId="0" fontId="4" fillId="0" borderId="20" xfId="16" applyBorder="1" applyAlignment="1">
      <alignment vertical="top"/>
    </xf>
    <xf numFmtId="8" fontId="0" fillId="0" borderId="0" xfId="0" applyNumberFormat="1"/>
    <xf numFmtId="0" fontId="4" fillId="0" borderId="9" xfId="16" applyBorder="1"/>
    <xf numFmtId="0" fontId="4" fillId="0" borderId="5" xfId="16" applyBorder="1"/>
    <xf numFmtId="0" fontId="4" fillId="0" borderId="10" xfId="16" applyBorder="1"/>
    <xf numFmtId="0" fontId="4" fillId="0" borderId="10" xfId="16" applyBorder="1" applyAlignment="1">
      <alignment vertical="top"/>
    </xf>
    <xf numFmtId="0" fontId="4" fillId="0" borderId="44" xfId="16" applyBorder="1"/>
    <xf numFmtId="44" fontId="4" fillId="0" borderId="28" xfId="19" applyNumberFormat="1" applyBorder="1" applyAlignment="1">
      <alignment horizontal="center"/>
    </xf>
    <xf numFmtId="2" fontId="4" fillId="0" borderId="10" xfId="16" applyNumberFormat="1" applyBorder="1" applyAlignment="1">
      <alignment vertical="top"/>
    </xf>
    <xf numFmtId="2" fontId="4" fillId="0" borderId="28" xfId="19" applyNumberFormat="1" applyBorder="1" applyAlignment="1">
      <alignment horizontal="center"/>
    </xf>
    <xf numFmtId="0" fontId="2" fillId="0" borderId="72" xfId="16" applyFont="1" applyBorder="1"/>
    <xf numFmtId="0" fontId="2" fillId="0" borderId="1" xfId="16" applyFont="1" applyBorder="1"/>
    <xf numFmtId="44" fontId="4" fillId="0" borderId="9" xfId="16" applyNumberFormat="1" applyBorder="1"/>
    <xf numFmtId="0" fontId="9" fillId="0" borderId="0" xfId="0" applyFont="1"/>
    <xf numFmtId="0" fontId="4" fillId="0" borderId="20" xfId="16" applyBorder="1"/>
    <xf numFmtId="2" fontId="4" fillId="0" borderId="44" xfId="16" applyNumberFormat="1" applyBorder="1"/>
    <xf numFmtId="0" fontId="4" fillId="0" borderId="51" xfId="19" applyBorder="1" applyAlignment="1">
      <alignment horizontal="center"/>
    </xf>
    <xf numFmtId="172" fontId="4" fillId="0" borderId="44" xfId="16" applyNumberFormat="1" applyBorder="1"/>
    <xf numFmtId="0" fontId="4" fillId="0" borderId="74" xfId="19" applyBorder="1" applyAlignment="1">
      <alignment horizontal="center" vertical="center"/>
    </xf>
    <xf numFmtId="44" fontId="4" fillId="0" borderId="10" xfId="19" applyNumberFormat="1" applyBorder="1" applyAlignment="1">
      <alignment horizontal="center"/>
    </xf>
    <xf numFmtId="0" fontId="4" fillId="0" borderId="44" xfId="19" applyBorder="1" applyAlignment="1">
      <alignment horizontal="center"/>
    </xf>
    <xf numFmtId="0" fontId="13" fillId="0" borderId="0" xfId="14"/>
    <xf numFmtId="0" fontId="15" fillId="0" borderId="0" xfId="0" applyFont="1"/>
    <xf numFmtId="0" fontId="2" fillId="0" borderId="0" xfId="19" applyFont="1" applyAlignment="1">
      <alignment horizontal="center"/>
    </xf>
    <xf numFmtId="0" fontId="2" fillId="0" borderId="26" xfId="19" applyFont="1" applyBorder="1" applyAlignment="1">
      <alignment horizontal="center"/>
    </xf>
    <xf numFmtId="1" fontId="16" fillId="0" borderId="0" xfId="0" applyNumberFormat="1" applyFont="1" applyAlignment="1">
      <alignment horizontal="center" vertical="top" wrapText="1"/>
    </xf>
    <xf numFmtId="2" fontId="16" fillId="0" borderId="0" xfId="0" applyNumberFormat="1" applyFont="1" applyAlignment="1">
      <alignment horizontal="center" vertical="top" wrapText="1"/>
    </xf>
    <xf numFmtId="0" fontId="19" fillId="0" borderId="0" xfId="0" applyFont="1"/>
    <xf numFmtId="0" fontId="20" fillId="3" borderId="28" xfId="0" applyFont="1" applyFill="1" applyBorder="1" applyAlignment="1">
      <alignment horizontal="center"/>
    </xf>
    <xf numFmtId="0" fontId="19" fillId="0" borderId="10" xfId="0" applyFont="1" applyBorder="1" applyAlignment="1">
      <alignment vertical="center"/>
    </xf>
    <xf numFmtId="3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4" fontId="19" fillId="0" borderId="1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center" vertical="center"/>
    </xf>
    <xf numFmtId="0" fontId="19" fillId="3" borderId="0" xfId="0" applyFont="1" applyFill="1"/>
    <xf numFmtId="0" fontId="17" fillId="3" borderId="47" xfId="0" applyFont="1" applyFill="1" applyBorder="1" applyAlignment="1">
      <alignment horizontal="center" vertical="center"/>
    </xf>
    <xf numFmtId="165" fontId="19" fillId="0" borderId="10" xfId="0" applyNumberFormat="1" applyFont="1" applyBorder="1" applyAlignment="1">
      <alignment horizontal="left" vertical="center"/>
    </xf>
    <xf numFmtId="164" fontId="21" fillId="0" borderId="10" xfId="0" quotePrefix="1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vertical="center"/>
    </xf>
    <xf numFmtId="3" fontId="19" fillId="3" borderId="10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44" fontId="19" fillId="3" borderId="10" xfId="0" applyNumberFormat="1" applyFont="1" applyFill="1" applyBorder="1" applyAlignment="1">
      <alignment horizontal="right" vertical="center"/>
    </xf>
    <xf numFmtId="164" fontId="21" fillId="3" borderId="10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vertical="center"/>
    </xf>
    <xf numFmtId="164" fontId="21" fillId="3" borderId="10" xfId="0" applyNumberFormat="1" applyFont="1" applyFill="1" applyBorder="1" applyAlignment="1">
      <alignment horizontal="center" vertical="center"/>
    </xf>
    <xf numFmtId="0" fontId="19" fillId="3" borderId="10" xfId="0" applyFont="1" applyFill="1" applyBorder="1"/>
    <xf numFmtId="44" fontId="23" fillId="3" borderId="10" xfId="0" applyNumberFormat="1" applyFont="1" applyFill="1" applyBorder="1" applyAlignment="1">
      <alignment horizontal="right" vertical="center"/>
    </xf>
    <xf numFmtId="0" fontId="20" fillId="3" borderId="0" xfId="0" applyFont="1" applyFill="1"/>
    <xf numFmtId="3" fontId="19" fillId="3" borderId="10" xfId="25" applyNumberFormat="1" applyFont="1" applyFill="1" applyBorder="1" applyAlignment="1">
      <alignment horizontal="center" vertical="center"/>
    </xf>
    <xf numFmtId="49" fontId="19" fillId="3" borderId="10" xfId="0" applyNumberFormat="1" applyFont="1" applyFill="1" applyBorder="1" applyAlignment="1">
      <alignment horizontal="left" vertical="center"/>
    </xf>
    <xf numFmtId="49" fontId="19" fillId="3" borderId="28" xfId="0" applyNumberFormat="1" applyFont="1" applyFill="1" applyBorder="1" applyAlignment="1">
      <alignment horizontal="left" vertical="center"/>
    </xf>
    <xf numFmtId="0" fontId="17" fillId="0" borderId="12" xfId="0" applyFont="1" applyBorder="1"/>
    <xf numFmtId="9" fontId="18" fillId="0" borderId="13" xfId="0" applyNumberFormat="1" applyFont="1" applyBorder="1"/>
    <xf numFmtId="0" fontId="19" fillId="0" borderId="13" xfId="0" applyFont="1" applyBorder="1"/>
    <xf numFmtId="0" fontId="19" fillId="0" borderId="14" xfId="0" applyFont="1" applyBorder="1"/>
    <xf numFmtId="0" fontId="17" fillId="0" borderId="15" xfId="0" applyFont="1" applyBorder="1"/>
    <xf numFmtId="9" fontId="18" fillId="0" borderId="0" xfId="0" applyNumberFormat="1" applyFont="1"/>
    <xf numFmtId="0" fontId="18" fillId="3" borderId="0" xfId="0" applyFont="1" applyFill="1" applyAlignment="1">
      <alignment horizontal="center"/>
    </xf>
    <xf numFmtId="0" fontId="19" fillId="0" borderId="16" xfId="0" applyFont="1" applyBorder="1"/>
    <xf numFmtId="0" fontId="19" fillId="0" borderId="24" xfId="0" quotePrefix="1" applyFont="1" applyBorder="1" applyAlignment="1">
      <alignment horizontal="center" vertical="center"/>
    </xf>
    <xf numFmtId="44" fontId="19" fillId="0" borderId="57" xfId="0" applyNumberFormat="1" applyFont="1" applyBorder="1" applyAlignment="1">
      <alignment vertical="center"/>
    </xf>
    <xf numFmtId="0" fontId="20" fillId="4" borderId="24" xfId="0" quotePrefix="1" applyFont="1" applyFill="1" applyBorder="1" applyAlignment="1">
      <alignment horizontal="center" vertical="center"/>
    </xf>
    <xf numFmtId="44" fontId="20" fillId="4" borderId="57" xfId="0" applyNumberFormat="1" applyFont="1" applyFill="1" applyBorder="1" applyAlignment="1">
      <alignment vertical="center"/>
    </xf>
    <xf numFmtId="0" fontId="19" fillId="3" borderId="24" xfId="0" quotePrefix="1" applyFont="1" applyFill="1" applyBorder="1" applyAlignment="1">
      <alignment horizontal="center" vertical="center"/>
    </xf>
    <xf numFmtId="44" fontId="19" fillId="3" borderId="57" xfId="0" applyNumberFormat="1" applyFont="1" applyFill="1" applyBorder="1" applyAlignment="1">
      <alignment vertical="center"/>
    </xf>
    <xf numFmtId="44" fontId="19" fillId="3" borderId="57" xfId="0" applyNumberFormat="1" applyFont="1" applyFill="1" applyBorder="1" applyAlignment="1">
      <alignment horizontal="right" vertical="center"/>
    </xf>
    <xf numFmtId="0" fontId="19" fillId="3" borderId="15" xfId="0" applyFont="1" applyFill="1" applyBorder="1"/>
    <xf numFmtId="0" fontId="24" fillId="3" borderId="0" xfId="0" applyFont="1" applyFill="1"/>
    <xf numFmtId="0" fontId="21" fillId="0" borderId="0" xfId="0" applyFont="1"/>
    <xf numFmtId="14" fontId="19" fillId="0" borderId="0" xfId="0" applyNumberFormat="1" applyFont="1"/>
    <xf numFmtId="44" fontId="20" fillId="4" borderId="68" xfId="0" applyNumberFormat="1" applyFont="1" applyFill="1" applyBorder="1" applyAlignment="1">
      <alignment vertical="center"/>
    </xf>
    <xf numFmtId="49" fontId="19" fillId="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vertical="center" wrapText="1"/>
    </xf>
    <xf numFmtId="44" fontId="0" fillId="0" borderId="10" xfId="0" applyNumberFormat="1" applyBorder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44" fontId="19" fillId="3" borderId="89" xfId="0" applyNumberFormat="1" applyFont="1" applyFill="1" applyBorder="1"/>
    <xf numFmtId="0" fontId="2" fillId="0" borderId="10" xfId="0" applyFont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/>
    </xf>
    <xf numFmtId="165" fontId="1" fillId="3" borderId="10" xfId="0" applyNumberFormat="1" applyFont="1" applyFill="1" applyBorder="1" applyAlignment="1">
      <alignment horizontal="right" vertical="center"/>
    </xf>
    <xf numFmtId="165" fontId="1" fillId="3" borderId="0" xfId="0" applyNumberFormat="1" applyFont="1" applyFill="1" applyAlignment="1">
      <alignment horizontal="righ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/>
    </xf>
    <xf numFmtId="165" fontId="1" fillId="3" borderId="10" xfId="0" applyNumberFormat="1" applyFont="1" applyFill="1" applyBorder="1" applyAlignment="1">
      <alignment horizontal="right"/>
    </xf>
    <xf numFmtId="164" fontId="1" fillId="3" borderId="51" xfId="0" applyNumberFormat="1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vertical="center" wrapText="1"/>
    </xf>
    <xf numFmtId="0" fontId="1" fillId="3" borderId="5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 wrapText="1"/>
    </xf>
    <xf numFmtId="164" fontId="1" fillId="3" borderId="28" xfId="0" applyNumberFormat="1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/>
    </xf>
    <xf numFmtId="164" fontId="1" fillId="3" borderId="44" xfId="0" applyNumberFormat="1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horizontal="center" vertical="center"/>
    </xf>
    <xf numFmtId="165" fontId="1" fillId="3" borderId="28" xfId="0" applyNumberFormat="1" applyFont="1" applyFill="1" applyBorder="1"/>
    <xf numFmtId="0" fontId="1" fillId="3" borderId="0" xfId="0" applyFont="1" applyFill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0" xfId="0" applyFont="1"/>
    <xf numFmtId="0" fontId="1" fillId="0" borderId="8" xfId="0" applyFont="1" applyBorder="1" applyAlignment="1">
      <alignment horizontal="left" vertical="center"/>
    </xf>
    <xf numFmtId="0" fontId="1" fillId="0" borderId="28" xfId="0" applyFon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44" fontId="1" fillId="0" borderId="19" xfId="5" applyFont="1" applyBorder="1" applyAlignment="1">
      <alignment horizontal="center" vertical="top"/>
    </xf>
    <xf numFmtId="171" fontId="1" fillId="0" borderId="10" xfId="21" applyNumberFormat="1" applyFont="1" applyBorder="1" applyAlignment="1">
      <alignment horizontal="center"/>
    </xf>
    <xf numFmtId="2" fontId="1" fillId="0" borderId="19" xfId="5" applyNumberFormat="1" applyFont="1" applyBorder="1" applyAlignment="1">
      <alignment horizontal="center" vertical="top"/>
    </xf>
    <xf numFmtId="0" fontId="1" fillId="0" borderId="10" xfId="21" applyNumberFormat="1" applyFont="1" applyBorder="1" applyAlignment="1">
      <alignment horizontal="center"/>
    </xf>
    <xf numFmtId="44" fontId="1" fillId="0" borderId="73" xfId="5" applyFont="1" applyBorder="1" applyAlignment="1">
      <alignment horizontal="center" vertical="top"/>
    </xf>
    <xf numFmtId="44" fontId="1" fillId="0" borderId="10" xfId="5" applyFont="1" applyBorder="1" applyAlignment="1">
      <alignment horizontal="center" vertical="top"/>
    </xf>
    <xf numFmtId="172" fontId="1" fillId="0" borderId="10" xfId="1" applyNumberFormat="1" applyFont="1" applyBorder="1" applyAlignment="1">
      <alignment vertical="top"/>
    </xf>
    <xf numFmtId="0" fontId="1" fillId="0" borderId="11" xfId="0" applyFont="1" applyBorder="1"/>
    <xf numFmtId="166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center"/>
    </xf>
    <xf numFmtId="0" fontId="1" fillId="0" borderId="49" xfId="0" applyFont="1" applyBorder="1"/>
    <xf numFmtId="0" fontId="1" fillId="0" borderId="38" xfId="0" applyFont="1" applyBorder="1"/>
    <xf numFmtId="0" fontId="1" fillId="0" borderId="59" xfId="0" applyFont="1" applyBorder="1"/>
    <xf numFmtId="0" fontId="1" fillId="0" borderId="6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55" xfId="0" applyFont="1" applyBorder="1" applyAlignment="1">
      <alignment horizontal="center" vertical="center"/>
    </xf>
    <xf numFmtId="168" fontId="1" fillId="0" borderId="64" xfId="0" applyNumberFormat="1" applyFont="1" applyBorder="1" applyAlignment="1">
      <alignment horizontal="center"/>
    </xf>
    <xf numFmtId="168" fontId="1" fillId="0" borderId="60" xfId="0" applyNumberFormat="1" applyFont="1" applyBorder="1" applyAlignment="1">
      <alignment horizontal="center"/>
    </xf>
    <xf numFmtId="168" fontId="1" fillId="0" borderId="10" xfId="0" applyNumberFormat="1" applyFont="1" applyBorder="1" applyAlignment="1">
      <alignment horizontal="center"/>
    </xf>
    <xf numFmtId="168" fontId="1" fillId="0" borderId="9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36" xfId="0" applyFont="1" applyBorder="1"/>
    <xf numFmtId="0" fontId="1" fillId="0" borderId="39" xfId="0" applyFont="1" applyBorder="1"/>
    <xf numFmtId="44" fontId="27" fillId="0" borderId="10" xfId="0" applyNumberFormat="1" applyFont="1" applyBorder="1" applyAlignment="1">
      <alignment vertical="center"/>
    </xf>
    <xf numFmtId="0" fontId="19" fillId="3" borderId="10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20" fillId="0" borderId="58" xfId="0" applyFont="1" applyBorder="1" applyAlignment="1">
      <alignment horizontal="center"/>
    </xf>
    <xf numFmtId="0" fontId="20" fillId="0" borderId="66" xfId="0" applyFont="1" applyBorder="1" applyAlignment="1">
      <alignment horizontal="center"/>
    </xf>
    <xf numFmtId="164" fontId="24" fillId="4" borderId="10" xfId="0" applyNumberFormat="1" applyFont="1" applyFill="1" applyBorder="1" applyAlignment="1">
      <alignment horizontal="right" vertical="center" wrapText="1" indent="2"/>
    </xf>
    <xf numFmtId="0" fontId="17" fillId="3" borderId="86" xfId="0" applyFont="1" applyFill="1" applyBorder="1" applyAlignment="1">
      <alignment horizontal="right"/>
    </xf>
    <xf numFmtId="0" fontId="17" fillId="3" borderId="87" xfId="0" applyFont="1" applyFill="1" applyBorder="1" applyAlignment="1">
      <alignment horizontal="right"/>
    </xf>
    <xf numFmtId="0" fontId="17" fillId="3" borderId="88" xfId="0" applyFont="1" applyFill="1" applyBorder="1" applyAlignment="1">
      <alignment horizontal="right"/>
    </xf>
    <xf numFmtId="0" fontId="20" fillId="0" borderId="51" xfId="0" applyFont="1" applyBorder="1" applyAlignment="1">
      <alignment horizontal="left"/>
    </xf>
    <xf numFmtId="0" fontId="20" fillId="0" borderId="28" xfId="0" applyFont="1" applyBorder="1" applyAlignment="1">
      <alignment horizontal="left"/>
    </xf>
    <xf numFmtId="49" fontId="19" fillId="3" borderId="10" xfId="0" applyNumberFormat="1" applyFont="1" applyFill="1" applyBorder="1" applyAlignment="1">
      <alignment horizontal="center" vertical="center" wrapText="1"/>
    </xf>
    <xf numFmtId="49" fontId="19" fillId="3" borderId="10" xfId="0" applyNumberFormat="1" applyFont="1" applyFill="1" applyBorder="1" applyAlignment="1">
      <alignment horizontal="center" vertical="center"/>
    </xf>
    <xf numFmtId="49" fontId="19" fillId="3" borderId="51" xfId="0" applyNumberFormat="1" applyFont="1" applyFill="1" applyBorder="1" applyAlignment="1">
      <alignment horizontal="center" vertical="center" wrapText="1"/>
    </xf>
    <xf numFmtId="49" fontId="19" fillId="3" borderId="32" xfId="0" applyNumberFormat="1" applyFont="1" applyFill="1" applyBorder="1" applyAlignment="1">
      <alignment horizontal="center" vertical="center"/>
    </xf>
    <xf numFmtId="49" fontId="19" fillId="3" borderId="28" xfId="0" applyNumberFormat="1" applyFont="1" applyFill="1" applyBorder="1" applyAlignment="1">
      <alignment horizontal="center" vertical="center"/>
    </xf>
    <xf numFmtId="164" fontId="24" fillId="4" borderId="55" xfId="0" applyNumberFormat="1" applyFont="1" applyFill="1" applyBorder="1" applyAlignment="1">
      <alignment horizontal="right" vertical="center" wrapText="1" indent="2"/>
    </xf>
    <xf numFmtId="49" fontId="19" fillId="0" borderId="51" xfId="0" applyNumberFormat="1" applyFont="1" applyBorder="1" applyAlignment="1">
      <alignment horizontal="center" vertical="center"/>
    </xf>
    <xf numFmtId="49" fontId="22" fillId="0" borderId="32" xfId="0" applyNumberFormat="1" applyFont="1" applyBorder="1" applyAlignment="1">
      <alignment horizontal="center" vertical="center"/>
    </xf>
    <xf numFmtId="49" fontId="22" fillId="0" borderId="28" xfId="0" applyNumberFormat="1" applyFont="1" applyBorder="1" applyAlignment="1">
      <alignment horizontal="center" vertical="center"/>
    </xf>
    <xf numFmtId="0" fontId="20" fillId="3" borderId="63" xfId="0" applyFont="1" applyFill="1" applyBorder="1" applyAlignment="1">
      <alignment horizontal="center"/>
    </xf>
    <xf numFmtId="0" fontId="20" fillId="3" borderId="56" xfId="0" applyFont="1" applyFill="1" applyBorder="1" applyAlignment="1">
      <alignment horizontal="center"/>
    </xf>
    <xf numFmtId="0" fontId="20" fillId="3" borderId="51" xfId="0" applyFont="1" applyFill="1" applyBorder="1" applyAlignment="1">
      <alignment horizontal="center"/>
    </xf>
    <xf numFmtId="0" fontId="20" fillId="3" borderId="28" xfId="0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4" fillId="0" borderId="9" xfId="16" applyBorder="1" applyAlignment="1">
      <alignment horizontal="center"/>
    </xf>
    <xf numFmtId="0" fontId="4" fillId="0" borderId="5" xfId="16" applyBorder="1" applyAlignment="1">
      <alignment horizontal="center"/>
    </xf>
    <xf numFmtId="0" fontId="4" fillId="0" borderId="45" xfId="16" applyBorder="1" applyAlignment="1">
      <alignment horizontal="center"/>
    </xf>
    <xf numFmtId="0" fontId="4" fillId="0" borderId="9" xfId="16" applyBorder="1" applyAlignment="1">
      <alignment horizontal="center" vertical="top"/>
    </xf>
    <xf numFmtId="0" fontId="4" fillId="0" borderId="5" xfId="16" applyBorder="1" applyAlignment="1">
      <alignment horizontal="center" vertical="top"/>
    </xf>
    <xf numFmtId="0" fontId="4" fillId="0" borderId="45" xfId="16" applyBorder="1" applyAlignment="1">
      <alignment horizontal="center" vertical="top"/>
    </xf>
    <xf numFmtId="0" fontId="2" fillId="0" borderId="10" xfId="16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9" xfId="16" applyBorder="1" applyAlignment="1">
      <alignment horizontal="left" wrapText="1"/>
    </xf>
    <xf numFmtId="0" fontId="4" fillId="0" borderId="5" xfId="16" applyBorder="1" applyAlignment="1">
      <alignment horizontal="left" wrapText="1"/>
    </xf>
    <xf numFmtId="0" fontId="4" fillId="0" borderId="45" xfId="16" applyBorder="1" applyAlignment="1">
      <alignment horizontal="left" wrapText="1"/>
    </xf>
    <xf numFmtId="0" fontId="4" fillId="0" borderId="10" xfId="16" applyBorder="1" applyAlignment="1">
      <alignment horizontal="left"/>
    </xf>
    <xf numFmtId="0" fontId="2" fillId="0" borderId="44" xfId="16" applyFont="1" applyBorder="1" applyAlignment="1">
      <alignment horizontal="center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0" fontId="2" fillId="0" borderId="75" xfId="16" applyFont="1" applyBorder="1" applyAlignment="1">
      <alignment horizontal="left" wrapText="1"/>
    </xf>
    <xf numFmtId="0" fontId="2" fillId="0" borderId="34" xfId="16" applyFont="1" applyBorder="1" applyAlignment="1">
      <alignment horizontal="left" wrapText="1"/>
    </xf>
    <xf numFmtId="0" fontId="2" fillId="0" borderId="77" xfId="16" applyFont="1" applyBorder="1" applyAlignment="1">
      <alignment horizontal="left" wrapText="1"/>
    </xf>
    <xf numFmtId="44" fontId="4" fillId="0" borderId="9" xfId="16" applyNumberFormat="1" applyBorder="1" applyAlignment="1">
      <alignment horizontal="center" vertical="top"/>
    </xf>
    <xf numFmtId="0" fontId="4" fillId="0" borderId="11" xfId="16" applyBorder="1" applyAlignment="1">
      <alignment horizontal="left" wrapText="1"/>
    </xf>
    <xf numFmtId="0" fontId="4" fillId="0" borderId="2" xfId="16" applyBorder="1" applyAlignment="1">
      <alignment horizontal="left" wrapText="1"/>
    </xf>
    <xf numFmtId="0" fontId="4" fillId="0" borderId="18" xfId="16" applyBorder="1" applyAlignment="1">
      <alignment horizontal="left" wrapText="1"/>
    </xf>
    <xf numFmtId="0" fontId="4" fillId="0" borderId="39" xfId="16" applyBorder="1" applyAlignment="1">
      <alignment horizontal="left" wrapText="1"/>
    </xf>
    <xf numFmtId="0" fontId="4" fillId="0" borderId="33" xfId="16" applyBorder="1" applyAlignment="1">
      <alignment horizontal="left" wrapText="1"/>
    </xf>
    <xf numFmtId="0" fontId="4" fillId="0" borderId="43" xfId="16" applyBorder="1" applyAlignment="1">
      <alignment horizontal="left" wrapText="1"/>
    </xf>
    <xf numFmtId="0" fontId="4" fillId="0" borderId="8" xfId="16" applyBorder="1" applyAlignment="1">
      <alignment horizontal="center"/>
    </xf>
    <xf numFmtId="0" fontId="4" fillId="0" borderId="7" xfId="16" applyBorder="1" applyAlignment="1">
      <alignment horizontal="center"/>
    </xf>
    <xf numFmtId="0" fontId="4" fillId="0" borderId="30" xfId="16" applyBorder="1" applyAlignment="1">
      <alignment horizontal="center"/>
    </xf>
    <xf numFmtId="0" fontId="4" fillId="0" borderId="9" xfId="16" applyBorder="1" applyAlignment="1">
      <alignment horizontal="left"/>
    </xf>
    <xf numFmtId="0" fontId="4" fillId="0" borderId="5" xfId="16" applyBorder="1" applyAlignment="1">
      <alignment horizontal="left"/>
    </xf>
    <xf numFmtId="0" fontId="4" fillId="0" borderId="45" xfId="16" applyBorder="1" applyAlignment="1">
      <alignment horizontal="left"/>
    </xf>
    <xf numFmtId="0" fontId="4" fillId="0" borderId="47" xfId="16" applyBorder="1" applyAlignment="1">
      <alignment horizontal="left" wrapText="1"/>
    </xf>
    <xf numFmtId="0" fontId="4" fillId="0" borderId="6" xfId="16" applyBorder="1" applyAlignment="1">
      <alignment horizontal="left" wrapText="1"/>
    </xf>
    <xf numFmtId="0" fontId="4" fillId="0" borderId="4" xfId="16" applyBorder="1" applyAlignment="1">
      <alignment horizontal="left" wrapText="1"/>
    </xf>
    <xf numFmtId="0" fontId="4" fillId="0" borderId="31" xfId="16" applyBorder="1" applyAlignment="1">
      <alignment horizontal="left" wrapText="1"/>
    </xf>
    <xf numFmtId="0" fontId="4" fillId="0" borderId="11" xfId="16" applyBorder="1" applyAlignment="1">
      <alignment horizontal="left" vertical="top" wrapText="1"/>
    </xf>
    <xf numFmtId="0" fontId="4" fillId="0" borderId="2" xfId="16" applyBorder="1" applyAlignment="1">
      <alignment horizontal="left" vertical="top" wrapText="1"/>
    </xf>
    <xf numFmtId="0" fontId="4" fillId="0" borderId="47" xfId="16" applyBorder="1" applyAlignment="1">
      <alignment horizontal="left" vertical="top" wrapText="1"/>
    </xf>
    <xf numFmtId="0" fontId="4" fillId="0" borderId="6" xfId="16" applyBorder="1" applyAlignment="1">
      <alignment horizontal="left" vertical="top" wrapText="1"/>
    </xf>
    <xf numFmtId="0" fontId="4" fillId="0" borderId="4" xfId="16" applyBorder="1" applyAlignment="1">
      <alignment horizontal="left" vertical="top" wrapText="1"/>
    </xf>
    <xf numFmtId="0" fontId="4" fillId="0" borderId="31" xfId="16" applyBorder="1" applyAlignment="1">
      <alignment horizontal="left" vertical="top" wrapText="1"/>
    </xf>
    <xf numFmtId="0" fontId="4" fillId="0" borderId="10" xfId="16" applyBorder="1" applyAlignment="1">
      <alignment horizontal="center"/>
    </xf>
    <xf numFmtId="0" fontId="4" fillId="0" borderId="57" xfId="16" applyBorder="1" applyAlignment="1">
      <alignment horizontal="center"/>
    </xf>
    <xf numFmtId="0" fontId="4" fillId="0" borderId="44" xfId="16" applyBorder="1" applyAlignment="1">
      <alignment horizontal="center"/>
    </xf>
    <xf numFmtId="0" fontId="4" fillId="0" borderId="78" xfId="16" applyBorder="1" applyAlignment="1">
      <alignment horizontal="center"/>
    </xf>
    <xf numFmtId="0" fontId="4" fillId="0" borderId="10" xfId="16" applyBorder="1" applyAlignment="1">
      <alignment horizontal="left" vertical="top" wrapText="1"/>
    </xf>
    <xf numFmtId="0" fontId="4" fillId="0" borderId="57" xfId="16" applyBorder="1" applyAlignment="1">
      <alignment horizontal="left" vertical="top" wrapText="1"/>
    </xf>
    <xf numFmtId="0" fontId="4" fillId="0" borderId="11" xfId="16" applyBorder="1" applyAlignment="1">
      <alignment horizontal="center" vertical="top" wrapText="1"/>
    </xf>
    <xf numFmtId="0" fontId="4" fillId="0" borderId="2" xfId="16" applyBorder="1" applyAlignment="1">
      <alignment horizontal="center" vertical="top" wrapText="1"/>
    </xf>
    <xf numFmtId="0" fontId="4" fillId="0" borderId="47" xfId="16" applyBorder="1" applyAlignment="1">
      <alignment horizontal="center" vertical="top" wrapText="1"/>
    </xf>
    <xf numFmtId="0" fontId="4" fillId="0" borderId="6" xfId="16" applyBorder="1" applyAlignment="1">
      <alignment horizontal="center" vertical="top" wrapText="1"/>
    </xf>
    <xf numFmtId="0" fontId="4" fillId="0" borderId="4" xfId="16" applyBorder="1" applyAlignment="1">
      <alignment horizontal="center" vertical="top" wrapText="1"/>
    </xf>
    <xf numFmtId="0" fontId="4" fillId="0" borderId="31" xfId="16" applyBorder="1" applyAlignment="1">
      <alignment horizontal="center" vertical="top" wrapText="1"/>
    </xf>
    <xf numFmtId="0" fontId="2" fillId="0" borderId="9" xfId="16" applyFont="1" applyBorder="1" applyAlignment="1">
      <alignment horizontal="left" vertical="top"/>
    </xf>
    <xf numFmtId="0" fontId="4" fillId="0" borderId="5" xfId="16" applyBorder="1" applyAlignment="1">
      <alignment horizontal="left" vertical="top"/>
    </xf>
    <xf numFmtId="0" fontId="4" fillId="0" borderId="45" xfId="16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8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2" fillId="0" borderId="82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2" fillId="0" borderId="7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8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8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8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8" fontId="0" fillId="0" borderId="8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168" fontId="0" fillId="0" borderId="30" xfId="0" applyNumberForma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5" xfId="0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168" fontId="0" fillId="0" borderId="45" xfId="0" applyNumberFormat="1" applyBorder="1" applyAlignment="1">
      <alignment horizontal="center"/>
    </xf>
    <xf numFmtId="0" fontId="0" fillId="0" borderId="1" xfId="0" applyBorder="1" applyAlignment="1"/>
    <xf numFmtId="0" fontId="0" fillId="0" borderId="53" xfId="0" applyBorder="1" applyAlignment="1"/>
  </cellXfs>
  <cellStyles count="26">
    <cellStyle name="Comma" xfId="1" builtinId="3"/>
    <cellStyle name="Comma 2" xfId="2" xr:uid="{BBBFBCDF-60D6-4AC6-8454-3F88716A418D}"/>
    <cellStyle name="Comma 3" xfId="3" xr:uid="{1DB8D0D3-F49C-45BF-BFE3-C2DA05A0AF86}"/>
    <cellStyle name="Comma0" xfId="4" xr:uid="{B4BAB9F3-8C98-49FA-A609-26AA6DC33E3D}"/>
    <cellStyle name="Currency" xfId="5" builtinId="4"/>
    <cellStyle name="Currency 2" xfId="6" xr:uid="{409E4368-6405-40FF-A91E-43260BE79F3B}"/>
    <cellStyle name="Currency 3" xfId="7" xr:uid="{A4872FB4-AA6D-4735-842E-05531063CB26}"/>
    <cellStyle name="Currency 4" xfId="8" xr:uid="{E61A2E37-FA5C-49BD-A32E-17141340202D}"/>
    <cellStyle name="Currency0" xfId="9" xr:uid="{A6E61D71-4B7F-46D1-827B-656794144DF7}"/>
    <cellStyle name="Date" xfId="10" xr:uid="{F7F40304-8360-4CAC-A8EE-D7DFF02E618C}"/>
    <cellStyle name="Fixed" xfId="11" xr:uid="{BFC733FB-175E-44BD-9455-67915527C9DB}"/>
    <cellStyle name="Heading 1 2" xfId="12" xr:uid="{AD35025E-C1E4-496A-BE1F-03A4D47E0846}"/>
    <cellStyle name="Heading 2 2" xfId="13" xr:uid="{ADA03875-BA05-44A5-ADD0-BFC8EDDE211A}"/>
    <cellStyle name="Hyperlink" xfId="14" builtinId="8"/>
    <cellStyle name="Normal" xfId="0" builtinId="0"/>
    <cellStyle name="Normal 2" xfId="15" xr:uid="{67E94F3A-0F67-41FB-A600-2B8D8B02D950}"/>
    <cellStyle name="Normal 2 2" xfId="16" xr:uid="{8B200BC2-F24A-418B-A647-054A70107D59}"/>
    <cellStyle name="Normal 2 2 2" xfId="25" xr:uid="{62135EDF-44C2-420B-8AEC-5412C9CEAC59}"/>
    <cellStyle name="Normal 2 3" xfId="17" xr:uid="{D05BF02D-F17E-49F5-B9A4-A4D538265449}"/>
    <cellStyle name="Normal 3" xfId="18" xr:uid="{71DEA2DC-BAC6-445C-91B8-68FC19D92EEA}"/>
    <cellStyle name="Normal 4" xfId="19" xr:uid="{A1218AB3-5207-4F13-9A22-D445A10A530B}"/>
    <cellStyle name="Normal 5" xfId="20" xr:uid="{F27BC38F-195F-4399-8753-D85225B69141}"/>
    <cellStyle name="Normal 6" xfId="24" xr:uid="{E548CED9-663A-49D2-8ECE-3D56DECECE4C}"/>
    <cellStyle name="Percent" xfId="21" builtinId="5"/>
    <cellStyle name="Percent 2" xfId="22" xr:uid="{5F66138C-298C-4ADF-ACE1-ECAD71B6CFD0}"/>
    <cellStyle name="Total 2" xfId="23" xr:uid="{4B4849DF-AFB5-456B-8E69-AAB8AF62C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266700</xdr:colOff>
      <xdr:row>190</xdr:row>
      <xdr:rowOff>57150</xdr:rowOff>
    </xdr:from>
    <xdr:to>
      <xdr:col>21</xdr:col>
      <xdr:colOff>180975</xdr:colOff>
      <xdr:row>190</xdr:row>
      <xdr:rowOff>57150</xdr:rowOff>
    </xdr:to>
    <xdr:sp macro="" textlink="">
      <xdr:nvSpPr>
        <xdr:cNvPr id="234337" name="Line 4">
          <a:extLst>
            <a:ext uri="{FF2B5EF4-FFF2-40B4-BE49-F238E27FC236}">
              <a16:creationId xmlns:a16="http://schemas.microsoft.com/office/drawing/2014/main" id="{0D10DF06-C73E-10D9-3027-AD0E2C5B61C1}"/>
            </a:ext>
          </a:extLst>
        </xdr:cNvPr>
        <xdr:cNvSpPr>
          <a:spLocks noChangeShapeType="1"/>
        </xdr:cNvSpPr>
      </xdr:nvSpPr>
      <xdr:spPr bwMode="auto">
        <a:xfrm flipH="1">
          <a:off x="16802100" y="3086100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266700</xdr:colOff>
      <xdr:row>190</xdr:row>
      <xdr:rowOff>57150</xdr:rowOff>
    </xdr:from>
    <xdr:to>
      <xdr:col>21</xdr:col>
      <xdr:colOff>180975</xdr:colOff>
      <xdr:row>190</xdr:row>
      <xdr:rowOff>57150</xdr:rowOff>
    </xdr:to>
    <xdr:sp macro="" textlink="">
      <xdr:nvSpPr>
        <xdr:cNvPr id="234338" name="Line 5">
          <a:extLst>
            <a:ext uri="{FF2B5EF4-FFF2-40B4-BE49-F238E27FC236}">
              <a16:creationId xmlns:a16="http://schemas.microsoft.com/office/drawing/2014/main" id="{A5C382FD-7916-297C-130E-7161E3C056EE}"/>
            </a:ext>
          </a:extLst>
        </xdr:cNvPr>
        <xdr:cNvSpPr>
          <a:spLocks noChangeShapeType="1"/>
        </xdr:cNvSpPr>
      </xdr:nvSpPr>
      <xdr:spPr bwMode="auto">
        <a:xfrm flipH="1">
          <a:off x="16802100" y="3086100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28575</xdr:colOff>
      <xdr:row>244</xdr:row>
      <xdr:rowOff>19050</xdr:rowOff>
    </xdr:from>
    <xdr:to>
      <xdr:col>7</xdr:col>
      <xdr:colOff>285750</xdr:colOff>
      <xdr:row>245</xdr:row>
      <xdr:rowOff>0</xdr:rowOff>
    </xdr:to>
    <xdr:pic>
      <xdr:nvPicPr>
        <xdr:cNvPr id="234339" name="Picture 7">
          <a:extLst>
            <a:ext uri="{FF2B5EF4-FFF2-40B4-BE49-F238E27FC236}">
              <a16:creationId xmlns:a16="http://schemas.microsoft.com/office/drawing/2014/main" id="{7D9BE4A7-4FD3-4822-AFEF-2C9FA66C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9576375"/>
          <a:ext cx="2571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</xdr:row>
      <xdr:rowOff>47625</xdr:rowOff>
    </xdr:from>
    <xdr:to>
      <xdr:col>2</xdr:col>
      <xdr:colOff>133350</xdr:colOff>
      <xdr:row>4</xdr:row>
      <xdr:rowOff>38100</xdr:rowOff>
    </xdr:to>
    <xdr:pic>
      <xdr:nvPicPr>
        <xdr:cNvPr id="234340" name="Picture 8">
          <a:extLst>
            <a:ext uri="{FF2B5EF4-FFF2-40B4-BE49-F238E27FC236}">
              <a16:creationId xmlns:a16="http://schemas.microsoft.com/office/drawing/2014/main" id="{D7EE0F1C-B783-E659-DE27-78553151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9550"/>
          <a:ext cx="1028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19050</xdr:colOff>
      <xdr:row>20</xdr:row>
      <xdr:rowOff>76200</xdr:rowOff>
    </xdr:from>
    <xdr:to>
      <xdr:col>21</xdr:col>
      <xdr:colOff>247650</xdr:colOff>
      <xdr:row>20</xdr:row>
      <xdr:rowOff>76200</xdr:rowOff>
    </xdr:to>
    <xdr:sp macro="" textlink="">
      <xdr:nvSpPr>
        <xdr:cNvPr id="234341" name="Line 9">
          <a:extLst>
            <a:ext uri="{FF2B5EF4-FFF2-40B4-BE49-F238E27FC236}">
              <a16:creationId xmlns:a16="http://schemas.microsoft.com/office/drawing/2014/main" id="{8729704D-CCEF-95B5-9C92-F913A1CFA8FE}"/>
            </a:ext>
          </a:extLst>
        </xdr:cNvPr>
        <xdr:cNvSpPr>
          <a:spLocks noChangeShapeType="1"/>
        </xdr:cNvSpPr>
      </xdr:nvSpPr>
      <xdr:spPr bwMode="auto">
        <a:xfrm flipH="1">
          <a:off x="17164050" y="3371850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20</xdr:row>
      <xdr:rowOff>76200</xdr:rowOff>
    </xdr:from>
    <xdr:to>
      <xdr:col>21</xdr:col>
      <xdr:colOff>247650</xdr:colOff>
      <xdr:row>20</xdr:row>
      <xdr:rowOff>76200</xdr:rowOff>
    </xdr:to>
    <xdr:sp macro="" textlink="">
      <xdr:nvSpPr>
        <xdr:cNvPr id="234342" name="Line 10">
          <a:extLst>
            <a:ext uri="{FF2B5EF4-FFF2-40B4-BE49-F238E27FC236}">
              <a16:creationId xmlns:a16="http://schemas.microsoft.com/office/drawing/2014/main" id="{1536B35A-D7BF-ADC7-11BF-D22C36EF9606}"/>
            </a:ext>
          </a:extLst>
        </xdr:cNvPr>
        <xdr:cNvSpPr>
          <a:spLocks noChangeShapeType="1"/>
        </xdr:cNvSpPr>
      </xdr:nvSpPr>
      <xdr:spPr bwMode="auto">
        <a:xfrm flipH="1">
          <a:off x="17164050" y="3371850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50</xdr:row>
      <xdr:rowOff>76200</xdr:rowOff>
    </xdr:from>
    <xdr:to>
      <xdr:col>22</xdr:col>
      <xdr:colOff>247650</xdr:colOff>
      <xdr:row>50</xdr:row>
      <xdr:rowOff>76200</xdr:rowOff>
    </xdr:to>
    <xdr:sp macro="" textlink="">
      <xdr:nvSpPr>
        <xdr:cNvPr id="234343" name="Line 11">
          <a:extLst>
            <a:ext uri="{FF2B5EF4-FFF2-40B4-BE49-F238E27FC236}">
              <a16:creationId xmlns:a16="http://schemas.microsoft.com/office/drawing/2014/main" id="{A8997CDF-8CDA-9593-7480-EB69D0FF55C8}"/>
            </a:ext>
          </a:extLst>
        </xdr:cNvPr>
        <xdr:cNvSpPr>
          <a:spLocks noChangeShapeType="1"/>
        </xdr:cNvSpPr>
      </xdr:nvSpPr>
      <xdr:spPr bwMode="auto">
        <a:xfrm flipH="1">
          <a:off x="17773650" y="8210550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409575</xdr:colOff>
      <xdr:row>1</xdr:row>
      <xdr:rowOff>47625</xdr:rowOff>
    </xdr:from>
    <xdr:to>
      <xdr:col>5</xdr:col>
      <xdr:colOff>352425</xdr:colOff>
      <xdr:row>4</xdr:row>
      <xdr:rowOff>57150</xdr:rowOff>
    </xdr:to>
    <xdr:pic>
      <xdr:nvPicPr>
        <xdr:cNvPr id="234344" name="Picture 12">
          <a:extLst>
            <a:ext uri="{FF2B5EF4-FFF2-40B4-BE49-F238E27FC236}">
              <a16:creationId xmlns:a16="http://schemas.microsoft.com/office/drawing/2014/main" id="{5FC5B73F-F2A4-A278-69BC-8DA2C65C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09550"/>
          <a:ext cx="7524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371475</xdr:colOff>
      <xdr:row>1</xdr:row>
      <xdr:rowOff>0</xdr:rowOff>
    </xdr:from>
    <xdr:to>
      <xdr:col>6</xdr:col>
      <xdr:colOff>485775</xdr:colOff>
      <xdr:row>4</xdr:row>
      <xdr:rowOff>76200</xdr:rowOff>
    </xdr:to>
    <xdr:pic>
      <xdr:nvPicPr>
        <xdr:cNvPr id="234345" name="Picture 13">
          <a:extLst>
            <a:ext uri="{FF2B5EF4-FFF2-40B4-BE49-F238E27FC236}">
              <a16:creationId xmlns:a16="http://schemas.microsoft.com/office/drawing/2014/main" id="{1FAF8961-EA27-D118-D1D9-6E0487BE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1925"/>
          <a:ext cx="1085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6</xdr:row>
      <xdr:rowOff>95250</xdr:rowOff>
    </xdr:from>
    <xdr:to>
      <xdr:col>22</xdr:col>
      <xdr:colOff>323850</xdr:colOff>
      <xdr:row>15</xdr:row>
      <xdr:rowOff>57150</xdr:rowOff>
    </xdr:to>
    <xdr:pic>
      <xdr:nvPicPr>
        <xdr:cNvPr id="150141" name="Picture 1">
          <a:extLst>
            <a:ext uri="{FF2B5EF4-FFF2-40B4-BE49-F238E27FC236}">
              <a16:creationId xmlns:a16="http://schemas.microsoft.com/office/drawing/2014/main" id="{31314C3F-A9B1-A675-EB27-EF7C865D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66800"/>
          <a:ext cx="1155382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19050</xdr:rowOff>
    </xdr:from>
    <xdr:to>
      <xdr:col>20</xdr:col>
      <xdr:colOff>238125</xdr:colOff>
      <xdr:row>16</xdr:row>
      <xdr:rowOff>38100</xdr:rowOff>
    </xdr:to>
    <xdr:pic>
      <xdr:nvPicPr>
        <xdr:cNvPr id="226510" name="Picture 2" descr="image001">
          <a:extLst>
            <a:ext uri="{FF2B5EF4-FFF2-40B4-BE49-F238E27FC236}">
              <a16:creationId xmlns:a16="http://schemas.microsoft.com/office/drawing/2014/main" id="{D94BEF73-E8DB-9C1C-58EB-EAE04C85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33375"/>
          <a:ext cx="6200775" cy="312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0</xdr:row>
      <xdr:rowOff>0</xdr:rowOff>
    </xdr:from>
    <xdr:to>
      <xdr:col>29</xdr:col>
      <xdr:colOff>76200</xdr:colOff>
      <xdr:row>37</xdr:row>
      <xdr:rowOff>38100</xdr:rowOff>
    </xdr:to>
    <xdr:pic>
      <xdr:nvPicPr>
        <xdr:cNvPr id="218451" name="Picture 2">
          <a:extLst>
            <a:ext uri="{FF2B5EF4-FFF2-40B4-BE49-F238E27FC236}">
              <a16:creationId xmlns:a16="http://schemas.microsoft.com/office/drawing/2014/main" id="{CA06DD53-6608-B8FF-FB07-1902FF4A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0"/>
          <a:ext cx="11306175" cy="700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57150</xdr:rowOff>
    </xdr:from>
    <xdr:to>
      <xdr:col>28</xdr:col>
      <xdr:colOff>381000</xdr:colOff>
      <xdr:row>39</xdr:row>
      <xdr:rowOff>28575</xdr:rowOff>
    </xdr:to>
    <xdr:pic>
      <xdr:nvPicPr>
        <xdr:cNvPr id="219473" name="Picture 5">
          <a:extLst>
            <a:ext uri="{FF2B5EF4-FFF2-40B4-BE49-F238E27FC236}">
              <a16:creationId xmlns:a16="http://schemas.microsoft.com/office/drawing/2014/main" id="{B95FB8B5-19E0-2AB2-62A7-927C41FE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57150"/>
          <a:ext cx="105537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361950</xdr:colOff>
      <xdr:row>0</xdr:row>
      <xdr:rowOff>0</xdr:rowOff>
    </xdr:from>
    <xdr:to>
      <xdr:col>29</xdr:col>
      <xdr:colOff>66675</xdr:colOff>
      <xdr:row>39</xdr:row>
      <xdr:rowOff>28575</xdr:rowOff>
    </xdr:to>
    <xdr:pic>
      <xdr:nvPicPr>
        <xdr:cNvPr id="215397" name="Picture 4">
          <a:extLst>
            <a:ext uri="{FF2B5EF4-FFF2-40B4-BE49-F238E27FC236}">
              <a16:creationId xmlns:a16="http://schemas.microsoft.com/office/drawing/2014/main" id="{DC774223-689F-CCE3-C5F9-7732EC20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0"/>
          <a:ext cx="10677525" cy="731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0</xdr:row>
      <xdr:rowOff>0</xdr:rowOff>
    </xdr:from>
    <xdr:to>
      <xdr:col>28</xdr:col>
      <xdr:colOff>104775</xdr:colOff>
      <xdr:row>38</xdr:row>
      <xdr:rowOff>76200</xdr:rowOff>
    </xdr:to>
    <xdr:pic>
      <xdr:nvPicPr>
        <xdr:cNvPr id="217443" name="Picture 2">
          <a:extLst>
            <a:ext uri="{FF2B5EF4-FFF2-40B4-BE49-F238E27FC236}">
              <a16:creationId xmlns:a16="http://schemas.microsoft.com/office/drawing/2014/main" id="{3D024A6F-2B59-9DEA-E0F3-582EED62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0"/>
          <a:ext cx="10868025" cy="72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sv08data.dot.ca.gov/contractcost/help.html" TargetMode="External"/><Relationship Id="rId1" Type="http://schemas.openxmlformats.org/officeDocument/2006/relationships/hyperlink" Target="https://sv08data.dot.ca.gov/contractcost/resources.html" TargetMode="External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4239-84E4-4EF8-ABC4-9FEF42BD2ABA}">
  <sheetPr codeName="Sheet1">
    <pageSetUpPr fitToPage="1"/>
  </sheetPr>
  <dimension ref="B4:J248"/>
  <sheetViews>
    <sheetView zoomScaleNormal="100" zoomScaleSheetLayoutView="85" workbookViewId="0">
      <selection activeCell="C6" sqref="C6"/>
    </sheetView>
  </sheetViews>
  <sheetFormatPr defaultColWidth="9.140625" defaultRowHeight="13.15"/>
  <cols>
    <col min="1" max="1" width="3.140625" style="180" customWidth="1"/>
    <col min="2" max="2" width="13.5703125" style="180" customWidth="1"/>
    <col min="3" max="3" width="62" style="180" customWidth="1"/>
    <col min="4" max="4" width="9.28515625" style="180" customWidth="1"/>
    <col min="5" max="5" width="12.140625" style="221" customWidth="1"/>
    <col min="6" max="6" width="14.5703125" style="180" customWidth="1"/>
    <col min="7" max="7" width="14.42578125" style="180" customWidth="1"/>
    <col min="8" max="16384" width="9.140625" style="180"/>
  </cols>
  <sheetData>
    <row r="4" spans="2:9" ht="17.45">
      <c r="B4" s="394"/>
      <c r="C4" s="394"/>
      <c r="D4" s="394"/>
      <c r="E4" s="394"/>
      <c r="F4" s="394"/>
      <c r="G4" s="394"/>
    </row>
    <row r="6" spans="2:9">
      <c r="B6" s="181"/>
      <c r="C6" s="182"/>
      <c r="D6" s="183"/>
      <c r="E6" s="184"/>
      <c r="F6" s="185"/>
      <c r="G6" s="186"/>
    </row>
    <row r="7" spans="2:9">
      <c r="B7" s="321"/>
      <c r="C7" s="322"/>
      <c r="D7" s="323"/>
      <c r="E7" s="324"/>
      <c r="F7" s="325"/>
      <c r="G7" s="187"/>
    </row>
    <row r="8" spans="2:9">
      <c r="B8" s="321"/>
      <c r="C8" s="322"/>
      <c r="D8" s="323"/>
      <c r="E8" s="324"/>
      <c r="F8" s="326"/>
      <c r="G8" s="187"/>
    </row>
    <row r="9" spans="2:9">
      <c r="B9" s="321"/>
      <c r="C9" s="322"/>
      <c r="D9" s="323"/>
      <c r="E9" s="324"/>
      <c r="F9" s="188"/>
      <c r="G9" s="187"/>
    </row>
    <row r="10" spans="2:9">
      <c r="B10" s="321"/>
      <c r="C10" s="322"/>
      <c r="D10" s="323"/>
      <c r="E10" s="324"/>
      <c r="F10" s="325"/>
      <c r="G10" s="187"/>
    </row>
    <row r="11" spans="2:9">
      <c r="B11" s="321"/>
      <c r="C11" s="322"/>
      <c r="D11" s="323"/>
      <c r="E11" s="324"/>
      <c r="F11" s="325"/>
      <c r="G11" s="187"/>
    </row>
    <row r="12" spans="2:9">
      <c r="B12" s="321"/>
      <c r="C12" s="322"/>
      <c r="D12" s="323"/>
      <c r="E12" s="324"/>
      <c r="F12" s="325"/>
      <c r="G12" s="187"/>
      <c r="I12" s="189"/>
    </row>
    <row r="13" spans="2:9">
      <c r="B13" s="321"/>
      <c r="C13" s="322"/>
      <c r="D13" s="323"/>
      <c r="E13" s="324"/>
      <c r="F13" s="325"/>
      <c r="G13" s="187"/>
      <c r="I13" s="189"/>
    </row>
    <row r="14" spans="2:9">
      <c r="B14" s="321"/>
      <c r="C14" s="322"/>
      <c r="D14" s="323"/>
      <c r="E14" s="324"/>
      <c r="F14" s="325"/>
      <c r="G14" s="187"/>
      <c r="I14" s="189"/>
    </row>
    <row r="15" spans="2:9">
      <c r="B15" s="321"/>
      <c r="C15" s="322"/>
      <c r="D15" s="323"/>
      <c r="E15" s="324"/>
      <c r="F15" s="325"/>
      <c r="G15" s="187"/>
    </row>
    <row r="16" spans="2:9">
      <c r="B16" s="321"/>
      <c r="C16" s="322"/>
      <c r="D16" s="323"/>
      <c r="E16" s="324"/>
      <c r="F16" s="325"/>
      <c r="G16" s="187"/>
    </row>
    <row r="17" spans="2:7">
      <c r="B17" s="321"/>
      <c r="C17" s="322"/>
      <c r="D17" s="323"/>
      <c r="E17" s="324"/>
      <c r="F17" s="325"/>
      <c r="G17" s="187"/>
    </row>
    <row r="18" spans="2:7">
      <c r="B18" s="321"/>
      <c r="C18" s="322"/>
      <c r="D18" s="323"/>
      <c r="E18" s="324"/>
      <c r="F18" s="325"/>
      <c r="G18" s="187"/>
    </row>
    <row r="19" spans="2:7">
      <c r="B19" s="321"/>
      <c r="C19" s="322"/>
      <c r="D19" s="323"/>
      <c r="E19" s="324"/>
      <c r="F19" s="325"/>
      <c r="G19" s="187"/>
    </row>
    <row r="20" spans="2:7" ht="12" customHeight="1">
      <c r="B20" s="321"/>
      <c r="C20" s="322"/>
      <c r="D20" s="323"/>
      <c r="E20" s="324"/>
      <c r="F20" s="325"/>
      <c r="G20" s="187"/>
    </row>
    <row r="21" spans="2:7">
      <c r="B21" s="321"/>
      <c r="C21" s="322"/>
      <c r="D21" s="323"/>
      <c r="E21" s="324"/>
      <c r="F21" s="325"/>
      <c r="G21" s="187"/>
    </row>
    <row r="22" spans="2:7">
      <c r="B22" s="321"/>
      <c r="C22" s="322"/>
      <c r="D22" s="323"/>
      <c r="E22" s="324"/>
      <c r="F22" s="325"/>
      <c r="G22" s="187"/>
    </row>
    <row r="23" spans="2:7">
      <c r="B23" s="321"/>
      <c r="C23" s="322"/>
      <c r="D23" s="323"/>
      <c r="E23" s="324"/>
      <c r="F23" s="325"/>
      <c r="G23" s="187"/>
    </row>
    <row r="24" spans="2:7">
      <c r="B24" s="321"/>
      <c r="C24" s="322"/>
      <c r="D24" s="323"/>
      <c r="E24" s="324"/>
      <c r="F24" s="325"/>
      <c r="G24" s="187"/>
    </row>
    <row r="25" spans="2:7">
      <c r="B25" s="321"/>
      <c r="C25" s="322"/>
      <c r="D25" s="323"/>
      <c r="E25" s="324"/>
      <c r="F25" s="325"/>
      <c r="G25" s="187"/>
    </row>
    <row r="26" spans="2:7">
      <c r="B26" s="321"/>
      <c r="C26" s="322"/>
      <c r="D26" s="323"/>
      <c r="E26" s="324"/>
      <c r="F26" s="325"/>
      <c r="G26" s="187"/>
    </row>
    <row r="27" spans="2:7">
      <c r="B27" s="321"/>
      <c r="C27" s="322"/>
      <c r="D27" s="323"/>
      <c r="E27" s="324"/>
      <c r="F27" s="325"/>
      <c r="G27" s="187"/>
    </row>
    <row r="28" spans="2:7">
      <c r="B28" s="321"/>
      <c r="C28" s="322"/>
      <c r="D28" s="323"/>
      <c r="E28" s="324"/>
      <c r="F28" s="325"/>
      <c r="G28" s="187"/>
    </row>
    <row r="29" spans="2:7">
      <c r="B29" s="321"/>
      <c r="C29" s="322"/>
      <c r="D29" s="323"/>
      <c r="E29" s="324"/>
      <c r="F29" s="325"/>
      <c r="G29" s="187"/>
    </row>
    <row r="30" spans="2:7">
      <c r="B30" s="321"/>
      <c r="C30" s="322"/>
      <c r="D30" s="323"/>
      <c r="E30" s="324"/>
      <c r="F30" s="325"/>
      <c r="G30" s="187"/>
    </row>
    <row r="31" spans="2:7">
      <c r="B31" s="321"/>
      <c r="C31" s="322"/>
      <c r="D31" s="323"/>
      <c r="E31" s="324"/>
      <c r="F31" s="325"/>
      <c r="G31" s="187"/>
    </row>
    <row r="32" spans="2:7">
      <c r="B32" s="321"/>
      <c r="C32" s="322"/>
      <c r="D32" s="323"/>
      <c r="E32" s="324"/>
      <c r="F32" s="325"/>
      <c r="G32" s="187"/>
    </row>
    <row r="33" spans="2:7">
      <c r="B33" s="321"/>
      <c r="C33" s="322"/>
      <c r="D33" s="323"/>
      <c r="E33" s="324"/>
      <c r="F33" s="325"/>
      <c r="G33" s="187"/>
    </row>
    <row r="34" spans="2:7">
      <c r="B34" s="321"/>
      <c r="C34" s="322"/>
      <c r="D34" s="323"/>
      <c r="E34" s="324"/>
      <c r="F34" s="325"/>
      <c r="G34" s="187"/>
    </row>
    <row r="35" spans="2:7">
      <c r="B35" s="321"/>
      <c r="C35" s="322"/>
      <c r="D35" s="323"/>
      <c r="E35" s="324"/>
      <c r="F35" s="325"/>
      <c r="G35" s="187"/>
    </row>
    <row r="36" spans="2:7">
      <c r="B36" s="321"/>
      <c r="C36" s="322"/>
      <c r="D36" s="323"/>
      <c r="E36" s="324"/>
      <c r="F36" s="325"/>
      <c r="G36" s="187"/>
    </row>
    <row r="37" spans="2:7">
      <c r="B37" s="321"/>
      <c r="C37" s="322"/>
      <c r="D37" s="323"/>
      <c r="E37" s="324"/>
      <c r="F37" s="325"/>
      <c r="G37" s="187"/>
    </row>
    <row r="38" spans="2:7">
      <c r="B38" s="321"/>
      <c r="C38" s="322"/>
      <c r="D38" s="323"/>
      <c r="E38" s="324"/>
      <c r="F38" s="325"/>
      <c r="G38" s="187"/>
    </row>
    <row r="39" spans="2:7" ht="12" customHeight="1">
      <c r="B39" s="321"/>
      <c r="C39" s="322"/>
      <c r="D39" s="323"/>
      <c r="E39" s="324"/>
      <c r="F39" s="325"/>
      <c r="G39" s="187"/>
    </row>
    <row r="40" spans="2:7" ht="12" customHeight="1">
      <c r="B40" s="321"/>
      <c r="C40" s="327"/>
      <c r="D40" s="323"/>
      <c r="E40" s="324"/>
      <c r="F40" s="325"/>
      <c r="G40" s="187"/>
    </row>
    <row r="41" spans="2:7">
      <c r="B41" s="321"/>
      <c r="C41" s="327"/>
      <c r="D41" s="323"/>
      <c r="E41" s="324"/>
      <c r="F41" s="325"/>
      <c r="G41" s="187"/>
    </row>
    <row r="42" spans="2:7">
      <c r="B42" s="321"/>
      <c r="C42" s="327"/>
      <c r="D42" s="323"/>
      <c r="E42" s="324"/>
      <c r="F42" s="325"/>
      <c r="G42" s="187"/>
    </row>
    <row r="43" spans="2:7">
      <c r="B43" s="321"/>
      <c r="C43" s="327"/>
      <c r="D43" s="323"/>
      <c r="E43" s="324"/>
      <c r="F43" s="325"/>
      <c r="G43" s="187"/>
    </row>
    <row r="44" spans="2:7">
      <c r="B44" s="321"/>
      <c r="C44" s="327"/>
      <c r="D44" s="323"/>
      <c r="E44" s="324"/>
      <c r="F44" s="325"/>
      <c r="G44" s="187"/>
    </row>
    <row r="45" spans="2:7">
      <c r="B45" s="190"/>
      <c r="C45" s="191"/>
      <c r="D45" s="192"/>
      <c r="E45" s="193"/>
      <c r="F45" s="194"/>
      <c r="G45" s="187"/>
    </row>
    <row r="46" spans="2:7">
      <c r="B46" s="190"/>
      <c r="C46" s="191"/>
      <c r="D46" s="192"/>
      <c r="E46" s="193"/>
      <c r="F46" s="194"/>
      <c r="G46" s="187"/>
    </row>
    <row r="47" spans="2:7">
      <c r="B47" s="190"/>
      <c r="C47" s="191"/>
      <c r="D47" s="192"/>
      <c r="E47" s="193"/>
      <c r="F47" s="194"/>
      <c r="G47" s="187"/>
    </row>
    <row r="48" spans="2:7">
      <c r="B48" s="190"/>
      <c r="C48" s="322"/>
      <c r="D48" s="192"/>
      <c r="E48" s="193"/>
      <c r="F48" s="194"/>
      <c r="G48" s="187"/>
    </row>
    <row r="49" spans="2:7">
      <c r="B49" s="190"/>
      <c r="C49" s="322"/>
      <c r="D49" s="323"/>
      <c r="E49" s="193"/>
      <c r="F49" s="194"/>
      <c r="G49" s="187"/>
    </row>
    <row r="50" spans="2:7">
      <c r="B50" s="321"/>
      <c r="C50" s="322"/>
      <c r="D50" s="323"/>
      <c r="E50" s="193"/>
      <c r="F50" s="194"/>
      <c r="G50" s="187"/>
    </row>
    <row r="51" spans="2:7">
      <c r="B51" s="321"/>
      <c r="C51" s="322"/>
      <c r="D51" s="323"/>
      <c r="E51" s="193"/>
      <c r="F51" s="194"/>
      <c r="G51" s="187"/>
    </row>
    <row r="52" spans="2:7">
      <c r="B52" s="321"/>
      <c r="C52" s="322"/>
      <c r="D52" s="323"/>
      <c r="E52" s="193"/>
      <c r="F52" s="194"/>
      <c r="G52" s="187"/>
    </row>
    <row r="53" spans="2:7">
      <c r="B53" s="321"/>
      <c r="C53" s="322"/>
      <c r="D53" s="323"/>
      <c r="E53" s="193"/>
      <c r="F53" s="194"/>
      <c r="G53" s="187"/>
    </row>
    <row r="54" spans="2:7">
      <c r="B54" s="321"/>
      <c r="C54" s="191"/>
      <c r="D54" s="192"/>
      <c r="E54" s="193"/>
      <c r="F54" s="194"/>
      <c r="G54" s="187"/>
    </row>
    <row r="55" spans="2:7">
      <c r="B55" s="321"/>
      <c r="C55" s="322"/>
      <c r="D55" s="323"/>
      <c r="E55" s="193"/>
      <c r="F55" s="194"/>
      <c r="G55" s="187"/>
    </row>
    <row r="56" spans="2:7">
      <c r="B56" s="321"/>
      <c r="C56" s="328"/>
      <c r="D56" s="323"/>
      <c r="E56" s="193"/>
      <c r="F56" s="187"/>
      <c r="G56" s="187"/>
    </row>
    <row r="57" spans="2:7">
      <c r="B57" s="190"/>
      <c r="C57" s="191"/>
      <c r="D57" s="192"/>
      <c r="E57" s="193"/>
      <c r="F57" s="194"/>
      <c r="G57" s="187"/>
    </row>
    <row r="58" spans="2:7">
      <c r="B58" s="190"/>
      <c r="C58" s="322"/>
      <c r="D58" s="323"/>
      <c r="E58" s="193"/>
      <c r="F58" s="194"/>
      <c r="G58" s="187"/>
    </row>
    <row r="59" spans="2:7">
      <c r="B59" s="190"/>
      <c r="C59" s="195"/>
      <c r="D59" s="192"/>
      <c r="E59" s="193"/>
      <c r="F59" s="187"/>
      <c r="G59" s="187"/>
    </row>
    <row r="60" spans="2:7">
      <c r="B60" s="190"/>
      <c r="C60" s="195"/>
      <c r="D60" s="192"/>
      <c r="E60" s="193"/>
      <c r="F60" s="187"/>
      <c r="G60" s="187"/>
    </row>
    <row r="61" spans="2:7">
      <c r="B61" s="190"/>
      <c r="C61" s="195"/>
      <c r="D61" s="192"/>
      <c r="E61" s="193"/>
      <c r="F61" s="187"/>
      <c r="G61" s="187"/>
    </row>
    <row r="62" spans="2:7">
      <c r="B62" s="190"/>
      <c r="C62" s="195"/>
      <c r="D62" s="192"/>
      <c r="E62" s="193"/>
      <c r="F62" s="187"/>
      <c r="G62" s="187"/>
    </row>
    <row r="63" spans="2:7">
      <c r="B63" s="190"/>
      <c r="C63" s="328"/>
      <c r="D63" s="192"/>
      <c r="E63" s="193"/>
      <c r="F63" s="187"/>
      <c r="G63" s="187"/>
    </row>
    <row r="64" spans="2:7">
      <c r="B64" s="190"/>
      <c r="C64" s="195"/>
      <c r="D64" s="192"/>
      <c r="E64" s="193"/>
      <c r="F64" s="187"/>
      <c r="G64" s="187"/>
    </row>
    <row r="65" spans="2:7">
      <c r="B65" s="190"/>
      <c r="C65" s="328"/>
      <c r="D65" s="192"/>
      <c r="E65" s="193"/>
      <c r="F65" s="329"/>
      <c r="G65" s="187"/>
    </row>
    <row r="66" spans="2:7">
      <c r="B66" s="190"/>
      <c r="C66" s="195"/>
      <c r="D66" s="192"/>
      <c r="E66" s="193"/>
      <c r="F66" s="187"/>
      <c r="G66" s="187"/>
    </row>
    <row r="67" spans="2:7">
      <c r="B67" s="190"/>
      <c r="C67" s="328"/>
      <c r="D67" s="323"/>
      <c r="E67" s="193"/>
      <c r="F67" s="187"/>
      <c r="G67" s="187"/>
    </row>
    <row r="68" spans="2:7">
      <c r="B68" s="190"/>
      <c r="C68" s="195"/>
      <c r="D68" s="192"/>
      <c r="E68" s="193"/>
      <c r="F68" s="187"/>
      <c r="G68" s="187"/>
    </row>
    <row r="69" spans="2:7">
      <c r="B69" s="190"/>
      <c r="C69" s="195"/>
      <c r="D69" s="192"/>
      <c r="E69" s="193"/>
      <c r="F69" s="187"/>
      <c r="G69" s="187"/>
    </row>
    <row r="70" spans="2:7">
      <c r="B70" s="321"/>
      <c r="C70" s="195"/>
      <c r="D70" s="192"/>
      <c r="E70" s="193"/>
      <c r="F70" s="187"/>
      <c r="G70" s="187"/>
    </row>
    <row r="71" spans="2:7">
      <c r="B71" s="321"/>
      <c r="C71" s="195"/>
      <c r="D71" s="192"/>
      <c r="E71" s="193"/>
      <c r="F71" s="187"/>
      <c r="G71" s="187"/>
    </row>
    <row r="72" spans="2:7">
      <c r="B72" s="190"/>
      <c r="C72" s="328"/>
      <c r="D72" s="192"/>
      <c r="E72" s="193"/>
      <c r="F72" s="187"/>
      <c r="G72" s="187"/>
    </row>
    <row r="73" spans="2:7">
      <c r="B73" s="190"/>
      <c r="C73" s="195"/>
      <c r="D73" s="192"/>
      <c r="E73" s="193"/>
      <c r="F73" s="187"/>
      <c r="G73" s="187"/>
    </row>
    <row r="74" spans="2:7">
      <c r="B74" s="190"/>
      <c r="C74" s="328"/>
      <c r="D74" s="323"/>
      <c r="E74" s="193"/>
      <c r="F74" s="187"/>
      <c r="G74" s="187"/>
    </row>
    <row r="75" spans="2:7">
      <c r="B75" s="190"/>
      <c r="C75" s="328"/>
      <c r="D75" s="323"/>
      <c r="E75" s="193"/>
      <c r="F75" s="187"/>
      <c r="G75" s="187"/>
    </row>
    <row r="76" spans="2:7">
      <c r="B76" s="190"/>
      <c r="C76" s="328"/>
      <c r="D76" s="323"/>
      <c r="E76" s="193"/>
      <c r="F76" s="187"/>
      <c r="G76" s="187"/>
    </row>
    <row r="77" spans="2:7">
      <c r="B77" s="190"/>
      <c r="C77" s="328"/>
      <c r="D77" s="323"/>
      <c r="E77" s="193"/>
      <c r="F77" s="187"/>
      <c r="G77" s="187"/>
    </row>
    <row r="78" spans="2:7">
      <c r="B78" s="190"/>
      <c r="C78" s="328"/>
      <c r="D78" s="323"/>
      <c r="E78" s="193"/>
      <c r="F78" s="187"/>
      <c r="G78" s="187"/>
    </row>
    <row r="79" spans="2:7">
      <c r="B79" s="190"/>
      <c r="C79" s="328"/>
      <c r="D79" s="323"/>
      <c r="E79" s="193"/>
      <c r="F79" s="187"/>
      <c r="G79" s="187"/>
    </row>
    <row r="80" spans="2:7">
      <c r="B80" s="190"/>
      <c r="C80" s="328"/>
      <c r="D80" s="323"/>
      <c r="E80" s="193"/>
      <c r="F80" s="187"/>
      <c r="G80" s="187"/>
    </row>
    <row r="81" spans="2:7">
      <c r="B81" s="190"/>
      <c r="C81" s="328"/>
      <c r="D81" s="323"/>
      <c r="E81" s="193"/>
      <c r="F81" s="187"/>
      <c r="G81" s="187"/>
    </row>
    <row r="82" spans="2:7">
      <c r="B82" s="190"/>
      <c r="C82" s="328"/>
      <c r="D82" s="323"/>
      <c r="E82" s="193"/>
      <c r="F82" s="187"/>
      <c r="G82" s="187"/>
    </row>
    <row r="83" spans="2:7">
      <c r="B83" s="321"/>
      <c r="C83" s="328"/>
      <c r="D83" s="323"/>
      <c r="E83" s="193"/>
      <c r="F83" s="187"/>
      <c r="G83" s="187"/>
    </row>
    <row r="84" spans="2:7">
      <c r="B84" s="190"/>
      <c r="C84" s="328"/>
      <c r="D84" s="323"/>
      <c r="E84" s="193"/>
      <c r="F84" s="187"/>
      <c r="G84" s="187"/>
    </row>
    <row r="85" spans="2:7">
      <c r="B85" s="321"/>
      <c r="C85" s="328"/>
      <c r="D85" s="323"/>
      <c r="E85" s="324"/>
      <c r="F85" s="329"/>
      <c r="G85" s="329"/>
    </row>
    <row r="86" spans="2:7">
      <c r="B86" s="190"/>
      <c r="C86" s="328"/>
      <c r="D86" s="323"/>
      <c r="E86" s="193"/>
      <c r="F86" s="187"/>
      <c r="G86" s="187"/>
    </row>
    <row r="87" spans="2:7">
      <c r="B87" s="190"/>
      <c r="C87" s="328"/>
      <c r="D87" s="323"/>
      <c r="E87" s="193"/>
      <c r="F87" s="187"/>
      <c r="G87" s="187"/>
    </row>
    <row r="88" spans="2:7">
      <c r="B88" s="190"/>
      <c r="C88" s="328"/>
      <c r="D88" s="323"/>
      <c r="E88" s="193"/>
      <c r="F88" s="187"/>
      <c r="G88" s="187"/>
    </row>
    <row r="89" spans="2:7">
      <c r="B89" s="190"/>
      <c r="C89" s="328"/>
      <c r="D89" s="323"/>
      <c r="E89" s="193"/>
      <c r="F89" s="187"/>
      <c r="G89" s="187"/>
    </row>
    <row r="90" spans="2:7">
      <c r="B90" s="190"/>
      <c r="C90" s="328"/>
      <c r="D90" s="323"/>
      <c r="E90" s="193"/>
      <c r="F90" s="187"/>
      <c r="G90" s="187"/>
    </row>
    <row r="91" spans="2:7">
      <c r="B91" s="190"/>
      <c r="C91" s="328"/>
      <c r="D91" s="323"/>
      <c r="E91" s="193"/>
      <c r="F91" s="187"/>
      <c r="G91" s="187"/>
    </row>
    <row r="92" spans="2:7">
      <c r="B92" s="190"/>
      <c r="C92" s="328"/>
      <c r="D92" s="323"/>
      <c r="E92" s="193"/>
      <c r="F92" s="187"/>
      <c r="G92" s="187"/>
    </row>
    <row r="93" spans="2:7">
      <c r="B93" s="190"/>
      <c r="C93" s="328"/>
      <c r="D93" s="323"/>
      <c r="E93" s="193"/>
      <c r="F93" s="187"/>
      <c r="G93" s="187"/>
    </row>
    <row r="94" spans="2:7">
      <c r="B94" s="321"/>
      <c r="C94" s="328"/>
      <c r="D94" s="323"/>
      <c r="E94" s="193"/>
      <c r="F94" s="187"/>
      <c r="G94" s="187"/>
    </row>
    <row r="95" spans="2:7">
      <c r="B95" s="321"/>
      <c r="C95" s="328"/>
      <c r="D95" s="323"/>
      <c r="E95" s="193"/>
      <c r="F95" s="187"/>
      <c r="G95" s="187"/>
    </row>
    <row r="96" spans="2:7">
      <c r="B96" s="190"/>
      <c r="C96" s="328"/>
      <c r="D96" s="323"/>
      <c r="E96" s="193"/>
      <c r="F96" s="187"/>
      <c r="G96" s="187"/>
    </row>
    <row r="97" spans="2:7">
      <c r="B97" s="190"/>
      <c r="C97" s="328"/>
      <c r="D97" s="323"/>
      <c r="E97" s="193"/>
      <c r="F97" s="187"/>
      <c r="G97" s="187"/>
    </row>
    <row r="98" spans="2:7">
      <c r="B98" s="190"/>
      <c r="C98" s="328"/>
      <c r="D98" s="323"/>
      <c r="E98" s="193"/>
      <c r="F98" s="187"/>
      <c r="G98" s="187"/>
    </row>
    <row r="99" spans="2:7">
      <c r="B99" s="190"/>
      <c r="C99" s="328"/>
      <c r="D99" s="323"/>
      <c r="E99" s="193"/>
      <c r="F99" s="187"/>
      <c r="G99" s="187"/>
    </row>
    <row r="100" spans="2:7">
      <c r="B100" s="190"/>
      <c r="C100" s="328"/>
      <c r="D100" s="323"/>
      <c r="E100" s="193"/>
      <c r="F100" s="187"/>
      <c r="G100" s="187"/>
    </row>
    <row r="101" spans="2:7">
      <c r="B101" s="190"/>
      <c r="C101" s="328"/>
      <c r="D101" s="323"/>
      <c r="E101" s="193"/>
      <c r="F101" s="187"/>
      <c r="G101" s="187"/>
    </row>
    <row r="102" spans="2:7">
      <c r="B102" s="190"/>
      <c r="C102" s="328"/>
      <c r="D102" s="323"/>
      <c r="E102" s="193"/>
      <c r="F102" s="187"/>
      <c r="G102" s="187"/>
    </row>
    <row r="103" spans="2:7">
      <c r="B103" s="321"/>
      <c r="C103" s="328"/>
      <c r="D103" s="323"/>
      <c r="E103" s="193"/>
      <c r="F103" s="187"/>
      <c r="G103" s="187"/>
    </row>
    <row r="104" spans="2:7">
      <c r="B104" s="321"/>
      <c r="C104" s="328"/>
      <c r="D104" s="323"/>
      <c r="E104" s="193"/>
      <c r="F104" s="187"/>
      <c r="G104" s="187"/>
    </row>
    <row r="105" spans="2:7">
      <c r="B105" s="321"/>
      <c r="C105" s="328"/>
      <c r="D105" s="323"/>
      <c r="E105" s="193"/>
      <c r="F105" s="187"/>
      <c r="G105" s="187"/>
    </row>
    <row r="106" spans="2:7">
      <c r="B106" s="321"/>
      <c r="C106" s="328"/>
      <c r="D106" s="323"/>
      <c r="E106" s="193"/>
      <c r="F106" s="187"/>
      <c r="G106" s="187"/>
    </row>
    <row r="107" spans="2:7">
      <c r="B107" s="321"/>
      <c r="C107" s="328"/>
      <c r="D107" s="323"/>
      <c r="E107" s="193"/>
      <c r="F107" s="187"/>
      <c r="G107" s="187"/>
    </row>
    <row r="108" spans="2:7">
      <c r="B108" s="321"/>
      <c r="C108" s="328"/>
      <c r="D108" s="323"/>
      <c r="E108" s="193"/>
      <c r="F108" s="187"/>
      <c r="G108" s="187"/>
    </row>
    <row r="109" spans="2:7">
      <c r="B109" s="190"/>
      <c r="C109" s="195"/>
      <c r="D109" s="192"/>
      <c r="E109" s="193"/>
      <c r="F109" s="187"/>
      <c r="G109" s="187"/>
    </row>
    <row r="110" spans="2:7">
      <c r="B110" s="190"/>
      <c r="C110" s="195"/>
      <c r="D110" s="192"/>
      <c r="E110" s="193"/>
      <c r="F110" s="187"/>
      <c r="G110" s="187"/>
    </row>
    <row r="111" spans="2:7">
      <c r="B111" s="190"/>
      <c r="C111" s="195"/>
      <c r="D111" s="192"/>
      <c r="E111" s="193"/>
      <c r="F111" s="187"/>
      <c r="G111" s="187"/>
    </row>
    <row r="112" spans="2:7">
      <c r="B112" s="190"/>
      <c r="C112" s="195"/>
      <c r="D112" s="192"/>
      <c r="E112" s="196"/>
      <c r="F112" s="187"/>
      <c r="G112" s="187"/>
    </row>
    <row r="113" spans="2:7">
      <c r="B113" s="190"/>
      <c r="C113" s="195"/>
      <c r="D113" s="192"/>
      <c r="E113" s="196"/>
      <c r="F113" s="187"/>
      <c r="G113" s="187"/>
    </row>
    <row r="114" spans="2:7">
      <c r="B114" s="190"/>
      <c r="C114" s="195"/>
      <c r="D114" s="192"/>
      <c r="E114" s="196"/>
      <c r="F114" s="187"/>
      <c r="G114" s="187"/>
    </row>
    <row r="115" spans="2:7">
      <c r="B115" s="190"/>
      <c r="C115" s="195"/>
      <c r="D115" s="192"/>
      <c r="E115" s="196"/>
      <c r="F115" s="187"/>
      <c r="G115" s="187"/>
    </row>
    <row r="116" spans="2:7">
      <c r="B116" s="190"/>
      <c r="C116" s="195"/>
      <c r="D116" s="192"/>
      <c r="E116" s="196"/>
      <c r="F116" s="187"/>
      <c r="G116" s="187"/>
    </row>
    <row r="117" spans="2:7">
      <c r="B117" s="190"/>
      <c r="C117" s="195"/>
      <c r="D117" s="192"/>
      <c r="E117" s="196"/>
      <c r="F117" s="187"/>
      <c r="G117" s="187"/>
    </row>
    <row r="118" spans="2:7">
      <c r="B118" s="190"/>
      <c r="C118" s="328"/>
      <c r="D118" s="323"/>
      <c r="E118" s="196"/>
      <c r="F118" s="187"/>
      <c r="G118" s="187"/>
    </row>
    <row r="119" spans="2:7">
      <c r="B119" s="190"/>
      <c r="C119" s="328"/>
      <c r="D119" s="323"/>
      <c r="E119" s="196"/>
      <c r="F119" s="187"/>
      <c r="G119" s="187"/>
    </row>
    <row r="120" spans="2:7">
      <c r="B120" s="321"/>
      <c r="C120" s="195"/>
      <c r="D120" s="192"/>
      <c r="E120" s="196"/>
      <c r="F120" s="187"/>
      <c r="G120" s="187"/>
    </row>
    <row r="121" spans="2:7">
      <c r="B121" s="321"/>
      <c r="C121" s="328"/>
      <c r="D121" s="323"/>
      <c r="E121" s="197"/>
      <c r="F121" s="187"/>
      <c r="G121" s="187"/>
    </row>
    <row r="122" spans="2:7">
      <c r="B122" s="321"/>
      <c r="C122" s="328"/>
      <c r="D122" s="192"/>
      <c r="E122" s="196"/>
      <c r="F122" s="187"/>
      <c r="G122" s="187"/>
    </row>
    <row r="123" spans="2:7">
      <c r="B123" s="321"/>
      <c r="C123" s="195"/>
      <c r="D123" s="192"/>
      <c r="E123" s="196"/>
      <c r="F123" s="187"/>
      <c r="G123" s="187"/>
    </row>
    <row r="124" spans="2:7">
      <c r="B124" s="321"/>
      <c r="C124" s="195"/>
      <c r="D124" s="192"/>
      <c r="E124" s="196"/>
      <c r="F124" s="187"/>
      <c r="G124" s="187"/>
    </row>
    <row r="125" spans="2:7">
      <c r="B125" s="321"/>
      <c r="C125" s="195"/>
      <c r="D125" s="192"/>
      <c r="E125" s="196"/>
      <c r="F125" s="187"/>
      <c r="G125" s="187"/>
    </row>
    <row r="126" spans="2:7">
      <c r="B126" s="321"/>
      <c r="C126" s="195"/>
      <c r="D126" s="192"/>
      <c r="E126" s="196"/>
      <c r="F126" s="187"/>
      <c r="G126" s="187"/>
    </row>
    <row r="127" spans="2:7">
      <c r="B127" s="321"/>
      <c r="C127" s="195"/>
      <c r="D127" s="192"/>
      <c r="E127" s="196"/>
      <c r="F127" s="187"/>
      <c r="G127" s="187"/>
    </row>
    <row r="128" spans="2:7">
      <c r="B128" s="321"/>
      <c r="C128" s="328"/>
      <c r="D128" s="323"/>
      <c r="E128" s="196"/>
      <c r="F128" s="187"/>
      <c r="G128" s="187"/>
    </row>
    <row r="129" spans="2:7">
      <c r="B129" s="321"/>
      <c r="C129" s="328"/>
      <c r="D129" s="323"/>
      <c r="E129" s="196"/>
      <c r="F129" s="187"/>
      <c r="G129" s="187"/>
    </row>
    <row r="130" spans="2:7">
      <c r="B130" s="190"/>
      <c r="C130" s="328"/>
      <c r="D130" s="323"/>
      <c r="E130" s="198"/>
      <c r="F130" s="187"/>
      <c r="G130" s="187"/>
    </row>
    <row r="131" spans="2:7">
      <c r="B131" s="190"/>
      <c r="C131" s="195"/>
      <c r="D131" s="192"/>
      <c r="E131" s="196"/>
      <c r="F131" s="187"/>
      <c r="G131" s="187"/>
    </row>
    <row r="132" spans="2:7">
      <c r="B132" s="190"/>
      <c r="C132" s="328"/>
      <c r="D132" s="323"/>
      <c r="E132" s="198"/>
      <c r="F132" s="187"/>
      <c r="G132" s="187"/>
    </row>
    <row r="133" spans="2:7">
      <c r="B133" s="190"/>
      <c r="C133" s="195"/>
      <c r="D133" s="192"/>
      <c r="E133" s="196"/>
      <c r="F133" s="187"/>
      <c r="G133" s="187"/>
    </row>
    <row r="134" spans="2:7">
      <c r="B134" s="321"/>
      <c r="C134" s="328"/>
      <c r="D134" s="192"/>
      <c r="E134" s="196"/>
      <c r="F134" s="187"/>
      <c r="G134" s="187"/>
    </row>
    <row r="135" spans="2:7">
      <c r="B135" s="321"/>
      <c r="C135" s="328"/>
      <c r="D135" s="323"/>
      <c r="E135" s="196"/>
      <c r="F135" s="187"/>
      <c r="G135" s="187"/>
    </row>
    <row r="136" spans="2:7">
      <c r="B136" s="190"/>
      <c r="C136" s="195"/>
      <c r="D136" s="192"/>
      <c r="E136" s="198"/>
      <c r="F136" s="187"/>
      <c r="G136" s="187"/>
    </row>
    <row r="137" spans="2:7">
      <c r="B137" s="321"/>
      <c r="C137" s="328"/>
      <c r="D137" s="323"/>
      <c r="E137" s="198"/>
      <c r="F137" s="187"/>
      <c r="G137" s="187"/>
    </row>
    <row r="138" spans="2:7">
      <c r="B138" s="190"/>
      <c r="C138" s="195"/>
      <c r="D138" s="192"/>
      <c r="E138" s="198"/>
      <c r="F138" s="187"/>
      <c r="G138" s="187"/>
    </row>
    <row r="139" spans="2:7">
      <c r="B139" s="190"/>
      <c r="C139" s="195"/>
      <c r="D139" s="192"/>
      <c r="E139" s="198"/>
      <c r="F139" s="187"/>
      <c r="G139" s="187"/>
    </row>
    <row r="140" spans="2:7">
      <c r="B140" s="190"/>
      <c r="C140" s="328"/>
      <c r="D140" s="323"/>
      <c r="E140" s="198"/>
      <c r="F140" s="187"/>
      <c r="G140" s="187"/>
    </row>
    <row r="141" spans="2:7">
      <c r="B141" s="190"/>
      <c r="C141" s="195"/>
      <c r="D141" s="192"/>
      <c r="E141" s="198"/>
      <c r="F141" s="187"/>
      <c r="G141" s="187"/>
    </row>
    <row r="142" spans="2:7">
      <c r="B142" s="190"/>
      <c r="C142" s="195"/>
      <c r="D142" s="192"/>
      <c r="E142" s="198"/>
      <c r="F142" s="187"/>
      <c r="G142" s="187"/>
    </row>
    <row r="143" spans="2:7">
      <c r="B143" s="190"/>
      <c r="C143" s="195"/>
      <c r="D143" s="192"/>
      <c r="E143" s="198"/>
      <c r="F143" s="187"/>
      <c r="G143" s="187"/>
    </row>
    <row r="144" spans="2:7">
      <c r="B144" s="190"/>
      <c r="C144" s="328"/>
      <c r="D144" s="323"/>
      <c r="E144" s="198"/>
      <c r="F144" s="187"/>
      <c r="G144" s="187"/>
    </row>
    <row r="145" spans="2:7">
      <c r="B145" s="190"/>
      <c r="C145" s="195"/>
      <c r="D145" s="192"/>
      <c r="E145" s="198"/>
      <c r="F145" s="187"/>
      <c r="G145" s="187"/>
    </row>
    <row r="146" spans="2:7">
      <c r="B146" s="190"/>
      <c r="C146" s="195"/>
      <c r="D146" s="192"/>
      <c r="E146" s="198"/>
      <c r="F146" s="187"/>
      <c r="G146" s="187"/>
    </row>
    <row r="147" spans="2:7">
      <c r="B147" s="190"/>
      <c r="C147" s="195"/>
      <c r="D147" s="192"/>
      <c r="E147" s="198"/>
      <c r="F147" s="187"/>
      <c r="G147" s="187"/>
    </row>
    <row r="148" spans="2:7">
      <c r="B148" s="190"/>
      <c r="C148" s="328"/>
      <c r="D148" s="323"/>
      <c r="E148" s="198"/>
      <c r="F148" s="187"/>
      <c r="G148" s="187"/>
    </row>
    <row r="149" spans="2:7">
      <c r="B149" s="321"/>
      <c r="C149" s="328"/>
      <c r="D149" s="192"/>
      <c r="E149" s="198"/>
      <c r="F149" s="187"/>
      <c r="G149" s="187"/>
    </row>
    <row r="150" spans="2:7">
      <c r="B150" s="321"/>
      <c r="C150" s="328"/>
      <c r="D150" s="192"/>
      <c r="E150" s="198"/>
      <c r="F150" s="187"/>
      <c r="G150" s="187"/>
    </row>
    <row r="151" spans="2:7">
      <c r="B151" s="321"/>
      <c r="C151" s="328"/>
      <c r="D151" s="323"/>
      <c r="E151" s="198"/>
      <c r="F151" s="187"/>
      <c r="G151" s="187"/>
    </row>
    <row r="152" spans="2:7">
      <c r="B152" s="190"/>
      <c r="C152" s="195"/>
      <c r="D152" s="192"/>
      <c r="E152" s="198"/>
      <c r="F152" s="187"/>
      <c r="G152" s="187"/>
    </row>
    <row r="153" spans="2:7">
      <c r="B153" s="190"/>
      <c r="C153" s="328"/>
      <c r="D153" s="323"/>
      <c r="E153" s="198"/>
      <c r="F153" s="187"/>
      <c r="G153" s="187"/>
    </row>
    <row r="154" spans="2:7">
      <c r="B154" s="190"/>
      <c r="C154" s="328"/>
      <c r="D154" s="323"/>
      <c r="E154" s="198"/>
      <c r="F154" s="187"/>
      <c r="G154" s="187"/>
    </row>
    <row r="155" spans="2:7">
      <c r="B155" s="190"/>
      <c r="C155" s="195"/>
      <c r="D155" s="192"/>
      <c r="E155" s="198"/>
      <c r="F155" s="187"/>
      <c r="G155" s="187"/>
    </row>
    <row r="156" spans="2:7">
      <c r="B156" s="190"/>
      <c r="C156" s="195"/>
      <c r="D156" s="192"/>
      <c r="E156" s="198"/>
      <c r="F156" s="187"/>
      <c r="G156" s="187"/>
    </row>
    <row r="157" spans="2:7">
      <c r="B157" s="321"/>
      <c r="C157" s="195"/>
      <c r="D157" s="192"/>
      <c r="E157" s="198"/>
      <c r="F157" s="187"/>
      <c r="G157" s="187"/>
    </row>
    <row r="158" spans="2:7">
      <c r="B158" s="190"/>
      <c r="C158" s="195"/>
      <c r="D158" s="192"/>
      <c r="E158" s="198"/>
      <c r="F158" s="187"/>
      <c r="G158" s="187"/>
    </row>
    <row r="159" spans="2:7">
      <c r="B159" s="190"/>
      <c r="C159" s="328"/>
      <c r="D159" s="192"/>
      <c r="E159" s="198"/>
      <c r="F159" s="187"/>
      <c r="G159" s="187"/>
    </row>
    <row r="160" spans="2:7">
      <c r="B160" s="190"/>
      <c r="C160" s="195"/>
      <c r="D160" s="192"/>
      <c r="E160" s="198"/>
      <c r="F160" s="187"/>
      <c r="G160" s="187"/>
    </row>
    <row r="161" spans="2:7">
      <c r="B161" s="190"/>
      <c r="C161" s="195"/>
      <c r="D161" s="192"/>
      <c r="E161" s="198"/>
      <c r="F161" s="187"/>
      <c r="G161" s="187"/>
    </row>
    <row r="162" spans="2:7">
      <c r="B162" s="190"/>
      <c r="C162" s="195"/>
      <c r="D162" s="192"/>
      <c r="E162" s="198"/>
      <c r="F162" s="187"/>
      <c r="G162" s="187"/>
    </row>
    <row r="163" spans="2:7">
      <c r="B163" s="190"/>
      <c r="C163" s="195"/>
      <c r="D163" s="192"/>
      <c r="E163" s="198"/>
      <c r="F163" s="187"/>
      <c r="G163" s="187"/>
    </row>
    <row r="164" spans="2:7">
      <c r="B164" s="190"/>
      <c r="C164" s="328"/>
      <c r="D164" s="192"/>
      <c r="E164" s="198"/>
      <c r="F164" s="187"/>
      <c r="G164" s="187"/>
    </row>
    <row r="165" spans="2:7">
      <c r="B165" s="190"/>
      <c r="C165" s="328"/>
      <c r="D165" s="192"/>
      <c r="E165" s="198"/>
      <c r="F165" s="187"/>
      <c r="G165" s="187"/>
    </row>
    <row r="166" spans="2:7">
      <c r="B166" s="190"/>
      <c r="C166" s="195"/>
      <c r="D166" s="192"/>
      <c r="E166" s="198"/>
      <c r="F166" s="187"/>
      <c r="G166" s="187"/>
    </row>
    <row r="167" spans="2:7">
      <c r="B167" s="190"/>
      <c r="C167" s="328"/>
      <c r="D167" s="323"/>
      <c r="E167" s="198"/>
      <c r="F167" s="187"/>
      <c r="G167" s="187"/>
    </row>
    <row r="168" spans="2:7">
      <c r="B168" s="321"/>
      <c r="C168" s="195"/>
      <c r="D168" s="192"/>
      <c r="E168" s="198"/>
      <c r="F168" s="187"/>
      <c r="G168" s="187"/>
    </row>
    <row r="169" spans="2:7">
      <c r="B169" s="190"/>
      <c r="C169" s="328"/>
      <c r="D169" s="192"/>
      <c r="E169" s="198"/>
      <c r="F169" s="187"/>
      <c r="G169" s="187"/>
    </row>
    <row r="170" spans="2:7">
      <c r="B170" s="190"/>
      <c r="C170" s="199"/>
      <c r="D170" s="192"/>
      <c r="E170" s="198"/>
      <c r="F170" s="187"/>
      <c r="G170" s="187"/>
    </row>
    <row r="171" spans="2:7">
      <c r="B171" s="190"/>
      <c r="C171" s="328"/>
      <c r="D171" s="192"/>
      <c r="E171" s="198"/>
      <c r="F171" s="187"/>
      <c r="G171" s="187"/>
    </row>
    <row r="172" spans="2:7">
      <c r="B172" s="190"/>
      <c r="C172" s="328"/>
      <c r="D172" s="192"/>
      <c r="E172" s="198"/>
      <c r="F172" s="187"/>
      <c r="G172" s="187"/>
    </row>
    <row r="173" spans="2:7">
      <c r="B173" s="330"/>
      <c r="C173" s="331"/>
      <c r="D173" s="200"/>
      <c r="E173" s="201"/>
      <c r="F173" s="202"/>
      <c r="G173" s="187"/>
    </row>
    <row r="174" spans="2:7">
      <c r="B174" s="203"/>
      <c r="C174" s="331"/>
      <c r="D174" s="200"/>
      <c r="E174" s="201"/>
      <c r="F174" s="202"/>
      <c r="G174" s="187"/>
    </row>
    <row r="175" spans="2:7">
      <c r="B175" s="203"/>
      <c r="C175" s="204"/>
      <c r="D175" s="200"/>
      <c r="E175" s="201"/>
      <c r="F175" s="202"/>
      <c r="G175" s="187"/>
    </row>
    <row r="176" spans="2:7">
      <c r="B176" s="203"/>
      <c r="C176" s="331"/>
      <c r="D176" s="332"/>
      <c r="E176" s="205"/>
      <c r="F176" s="202"/>
      <c r="G176" s="187"/>
    </row>
    <row r="177" spans="2:9">
      <c r="B177" s="203"/>
      <c r="C177" s="331"/>
      <c r="D177" s="332"/>
      <c r="E177" s="205"/>
      <c r="F177" s="202"/>
      <c r="G177" s="187"/>
    </row>
    <row r="178" spans="2:9">
      <c r="B178" s="203"/>
      <c r="C178" s="331"/>
      <c r="D178" s="332"/>
      <c r="E178" s="205"/>
      <c r="F178" s="202"/>
      <c r="G178" s="187"/>
    </row>
    <row r="179" spans="2:9">
      <c r="B179" s="203"/>
      <c r="C179" s="331"/>
      <c r="D179" s="332"/>
      <c r="E179" s="205"/>
      <c r="F179" s="202"/>
      <c r="G179" s="187"/>
    </row>
    <row r="180" spans="2:9">
      <c r="B180" s="203"/>
      <c r="C180" s="331"/>
      <c r="D180" s="332"/>
      <c r="E180" s="201"/>
      <c r="F180" s="202"/>
      <c r="G180" s="187"/>
    </row>
    <row r="181" spans="2:9">
      <c r="B181" s="203"/>
      <c r="C181" s="331"/>
      <c r="D181" s="332"/>
      <c r="E181" s="201"/>
      <c r="F181" s="202"/>
      <c r="G181" s="187"/>
    </row>
    <row r="182" spans="2:9">
      <c r="B182" s="203"/>
      <c r="C182" s="204"/>
      <c r="D182" s="200"/>
      <c r="E182" s="201"/>
      <c r="F182" s="202"/>
      <c r="G182" s="187"/>
    </row>
    <row r="183" spans="2:9">
      <c r="B183" s="203"/>
      <c r="C183" s="204"/>
      <c r="D183" s="200"/>
      <c r="E183" s="201"/>
      <c r="F183" s="202"/>
      <c r="G183" s="187"/>
    </row>
    <row r="184" spans="2:9">
      <c r="B184" s="203"/>
      <c r="C184" s="204"/>
      <c r="D184" s="200"/>
      <c r="E184" s="200"/>
      <c r="F184" s="206"/>
      <c r="G184" s="194"/>
    </row>
    <row r="185" spans="2:9">
      <c r="B185" s="203"/>
      <c r="C185" s="204"/>
      <c r="D185" s="200"/>
      <c r="E185" s="201"/>
      <c r="F185" s="202"/>
      <c r="G185" s="187"/>
    </row>
    <row r="186" spans="2:9">
      <c r="B186" s="203"/>
      <c r="C186" s="204"/>
      <c r="D186" s="200"/>
      <c r="E186" s="201"/>
      <c r="F186" s="202"/>
      <c r="G186" s="187"/>
    </row>
    <row r="187" spans="2:9">
      <c r="B187" s="203"/>
      <c r="C187" s="204"/>
      <c r="D187" s="200"/>
      <c r="E187" s="201"/>
      <c r="F187" s="202"/>
      <c r="G187" s="187"/>
    </row>
    <row r="188" spans="2:9">
      <c r="B188" s="203"/>
      <c r="C188" s="331"/>
      <c r="D188" s="332"/>
      <c r="E188" s="201"/>
      <c r="F188" s="202"/>
      <c r="G188" s="187"/>
      <c r="I188" s="189"/>
    </row>
    <row r="189" spans="2:9">
      <c r="B189" s="203"/>
      <c r="C189" s="331"/>
      <c r="D189" s="200"/>
      <c r="E189" s="201"/>
      <c r="F189" s="202"/>
      <c r="G189" s="187"/>
    </row>
    <row r="190" spans="2:9">
      <c r="B190" s="203"/>
      <c r="C190" s="204"/>
      <c r="D190" s="200"/>
      <c r="E190" s="201"/>
      <c r="F190" s="202"/>
      <c r="G190" s="187"/>
    </row>
    <row r="191" spans="2:9">
      <c r="B191" s="203"/>
      <c r="C191" s="204"/>
      <c r="D191" s="200"/>
      <c r="E191" s="201"/>
      <c r="F191" s="202"/>
      <c r="G191" s="187"/>
    </row>
    <row r="192" spans="2:9">
      <c r="B192" s="203"/>
      <c r="C192" s="204"/>
      <c r="D192" s="200"/>
      <c r="E192" s="201"/>
      <c r="F192" s="202"/>
      <c r="G192" s="187"/>
    </row>
    <row r="193" spans="2:10">
      <c r="B193" s="330"/>
      <c r="C193" s="331"/>
      <c r="D193" s="332"/>
      <c r="E193" s="201"/>
      <c r="F193" s="202"/>
      <c r="G193" s="187"/>
      <c r="I193" s="207"/>
      <c r="J193" s="207"/>
    </row>
    <row r="194" spans="2:10">
      <c r="B194" s="330"/>
      <c r="C194" s="331"/>
      <c r="D194" s="332"/>
      <c r="E194" s="201"/>
      <c r="F194" s="202"/>
      <c r="G194" s="202"/>
    </row>
    <row r="195" spans="2:10">
      <c r="B195" s="330"/>
      <c r="C195" s="331"/>
      <c r="D195" s="332"/>
      <c r="E195" s="201"/>
      <c r="F195" s="202"/>
      <c r="G195" s="202"/>
    </row>
    <row r="196" spans="2:10">
      <c r="B196" s="203"/>
      <c r="C196" s="204"/>
      <c r="D196" s="200"/>
      <c r="E196" s="201"/>
      <c r="F196" s="202"/>
      <c r="G196" s="202"/>
      <c r="I196" s="207"/>
    </row>
    <row r="197" spans="2:10">
      <c r="B197" s="190"/>
      <c r="C197" s="333"/>
      <c r="D197" s="323"/>
      <c r="E197" s="198"/>
      <c r="F197" s="187"/>
      <c r="G197" s="187"/>
      <c r="I197" s="207"/>
    </row>
    <row r="198" spans="2:10">
      <c r="B198" s="203"/>
      <c r="C198" s="331"/>
      <c r="D198" s="332"/>
      <c r="E198" s="201"/>
      <c r="F198" s="202"/>
      <c r="G198" s="187"/>
    </row>
    <row r="199" spans="2:10">
      <c r="B199" s="203"/>
      <c r="C199" s="331"/>
      <c r="D199" s="332"/>
      <c r="E199" s="201"/>
      <c r="F199" s="202"/>
      <c r="G199" s="187"/>
    </row>
    <row r="200" spans="2:10">
      <c r="B200" s="203"/>
      <c r="C200" s="331"/>
      <c r="D200" s="332"/>
      <c r="E200" s="201"/>
      <c r="F200" s="202"/>
      <c r="G200" s="187"/>
    </row>
    <row r="201" spans="2:10">
      <c r="B201" s="203"/>
      <c r="C201" s="331"/>
      <c r="D201" s="332"/>
      <c r="E201" s="201"/>
      <c r="F201" s="202"/>
      <c r="G201" s="187"/>
    </row>
    <row r="202" spans="2:10">
      <c r="B202" s="203"/>
      <c r="C202" s="331"/>
      <c r="D202" s="332"/>
      <c r="E202" s="201"/>
      <c r="F202" s="202"/>
      <c r="G202" s="187"/>
    </row>
    <row r="203" spans="2:10">
      <c r="B203" s="203"/>
      <c r="C203" s="331"/>
      <c r="D203" s="332"/>
      <c r="E203" s="201"/>
      <c r="F203" s="202"/>
      <c r="G203" s="187"/>
    </row>
    <row r="204" spans="2:10">
      <c r="B204" s="203"/>
      <c r="C204" s="331"/>
      <c r="D204" s="332"/>
      <c r="E204" s="201"/>
      <c r="F204" s="202"/>
      <c r="G204" s="187"/>
    </row>
    <row r="205" spans="2:10">
      <c r="B205" s="203"/>
      <c r="C205" s="331"/>
      <c r="D205" s="332"/>
      <c r="E205" s="201"/>
      <c r="F205" s="202"/>
      <c r="G205" s="187"/>
    </row>
    <row r="206" spans="2:10">
      <c r="B206" s="203"/>
      <c r="C206" s="331"/>
      <c r="D206" s="332"/>
      <c r="E206" s="201"/>
      <c r="F206" s="202"/>
      <c r="G206" s="187"/>
    </row>
    <row r="207" spans="2:10">
      <c r="B207" s="203"/>
      <c r="C207" s="331"/>
      <c r="D207" s="332"/>
      <c r="E207" s="201"/>
      <c r="F207" s="202"/>
      <c r="G207" s="187"/>
    </row>
    <row r="208" spans="2:10">
      <c r="B208" s="330"/>
      <c r="C208" s="331"/>
      <c r="D208" s="332"/>
      <c r="E208" s="201"/>
      <c r="F208" s="202"/>
      <c r="G208" s="187"/>
    </row>
    <row r="209" spans="2:9">
      <c r="B209" s="203"/>
      <c r="C209" s="331"/>
      <c r="D209" s="332"/>
      <c r="E209" s="201"/>
      <c r="F209" s="202"/>
      <c r="G209" s="187"/>
    </row>
    <row r="210" spans="2:9">
      <c r="B210" s="330"/>
      <c r="C210" s="331"/>
      <c r="D210" s="332"/>
      <c r="E210" s="201"/>
      <c r="F210" s="202"/>
      <c r="G210" s="187"/>
    </row>
    <row r="211" spans="2:9">
      <c r="B211" s="203"/>
      <c r="C211" s="331"/>
      <c r="D211" s="332"/>
      <c r="E211" s="201"/>
      <c r="F211" s="202"/>
      <c r="G211" s="187"/>
    </row>
    <row r="212" spans="2:9">
      <c r="B212" s="330"/>
      <c r="C212" s="331"/>
      <c r="D212" s="332"/>
      <c r="E212" s="201"/>
      <c r="F212" s="202"/>
      <c r="G212" s="187"/>
    </row>
    <row r="213" spans="2:9">
      <c r="B213" s="330"/>
      <c r="C213" s="331"/>
      <c r="D213" s="332"/>
      <c r="E213" s="201"/>
      <c r="F213" s="202"/>
      <c r="G213" s="187"/>
    </row>
    <row r="214" spans="2:9">
      <c r="B214" s="330"/>
      <c r="C214" s="331"/>
      <c r="D214" s="332"/>
      <c r="E214" s="201"/>
      <c r="F214" s="202"/>
      <c r="G214" s="187"/>
    </row>
    <row r="215" spans="2:9">
      <c r="B215" s="190"/>
      <c r="C215" s="333"/>
      <c r="D215" s="323"/>
      <c r="E215" s="198"/>
      <c r="F215" s="187"/>
      <c r="G215" s="187"/>
      <c r="I215" s="207"/>
    </row>
    <row r="216" spans="2:9">
      <c r="B216" s="321"/>
      <c r="C216" s="333"/>
      <c r="D216" s="323"/>
      <c r="E216" s="198"/>
      <c r="F216" s="187"/>
      <c r="G216" s="187"/>
      <c r="I216" s="207"/>
    </row>
    <row r="217" spans="2:9">
      <c r="B217" s="321"/>
      <c r="C217" s="333"/>
      <c r="D217" s="323"/>
      <c r="E217" s="198"/>
      <c r="F217" s="187"/>
      <c r="G217" s="187"/>
      <c r="I217" s="207"/>
    </row>
    <row r="218" spans="2:9">
      <c r="B218" s="321"/>
      <c r="C218" s="333"/>
      <c r="D218" s="323"/>
      <c r="E218" s="198"/>
      <c r="F218" s="187"/>
      <c r="G218" s="187"/>
      <c r="I218" s="207"/>
    </row>
    <row r="219" spans="2:9">
      <c r="B219" s="321"/>
      <c r="C219" s="333"/>
      <c r="D219" s="323"/>
      <c r="E219" s="198"/>
      <c r="F219" s="187"/>
      <c r="G219" s="187"/>
      <c r="I219" s="207"/>
    </row>
    <row r="220" spans="2:9">
      <c r="B220" s="321"/>
      <c r="C220" s="333"/>
      <c r="D220" s="323"/>
      <c r="E220" s="198"/>
      <c r="F220" s="187"/>
      <c r="G220" s="187"/>
      <c r="I220" s="207"/>
    </row>
    <row r="221" spans="2:9">
      <c r="B221" s="321"/>
      <c r="C221" s="333"/>
      <c r="D221" s="323"/>
      <c r="E221" s="198"/>
      <c r="F221" s="187"/>
      <c r="G221" s="187"/>
      <c r="I221" s="207"/>
    </row>
    <row r="222" spans="2:9">
      <c r="B222" s="321"/>
      <c r="C222" s="333"/>
      <c r="D222" s="323"/>
      <c r="E222" s="198"/>
      <c r="F222" s="187"/>
      <c r="G222" s="187"/>
      <c r="I222" s="207"/>
    </row>
    <row r="223" spans="2:9">
      <c r="B223" s="321"/>
      <c r="C223" s="333"/>
      <c r="D223" s="323"/>
      <c r="E223" s="198"/>
      <c r="F223" s="187"/>
      <c r="G223" s="187"/>
      <c r="I223" s="207"/>
    </row>
    <row r="224" spans="2:9">
      <c r="B224" s="321"/>
      <c r="C224" s="333"/>
      <c r="D224" s="323"/>
      <c r="E224" s="198"/>
      <c r="F224" s="187"/>
      <c r="G224" s="187"/>
      <c r="I224" s="207"/>
    </row>
    <row r="225" spans="2:9">
      <c r="B225" s="321"/>
      <c r="C225" s="333"/>
      <c r="D225" s="323"/>
      <c r="E225" s="198"/>
      <c r="F225" s="187"/>
      <c r="G225" s="187"/>
      <c r="I225" s="207"/>
    </row>
    <row r="226" spans="2:9">
      <c r="B226" s="321"/>
      <c r="C226" s="333"/>
      <c r="D226" s="323"/>
      <c r="E226" s="198"/>
      <c r="F226" s="187"/>
      <c r="G226" s="187"/>
      <c r="I226" s="207"/>
    </row>
    <row r="227" spans="2:9">
      <c r="B227" s="321"/>
      <c r="C227" s="333"/>
      <c r="D227" s="323"/>
      <c r="E227" s="198"/>
      <c r="F227" s="187"/>
      <c r="G227" s="187"/>
      <c r="I227" s="207"/>
    </row>
    <row r="228" spans="2:9">
      <c r="B228" s="321"/>
      <c r="C228" s="333"/>
      <c r="D228" s="323"/>
      <c r="E228" s="198"/>
      <c r="F228" s="187"/>
      <c r="G228" s="187"/>
      <c r="I228" s="207"/>
    </row>
    <row r="229" spans="2:9">
      <c r="B229" s="321"/>
      <c r="C229" s="333"/>
      <c r="D229" s="323"/>
      <c r="E229" s="198"/>
      <c r="F229" s="187"/>
      <c r="G229" s="187"/>
      <c r="I229" s="207"/>
    </row>
    <row r="230" spans="2:9">
      <c r="B230" s="321"/>
      <c r="C230" s="333"/>
      <c r="D230" s="323"/>
      <c r="E230" s="198"/>
      <c r="F230" s="187"/>
      <c r="G230" s="187"/>
      <c r="I230" s="207"/>
    </row>
    <row r="231" spans="2:9">
      <c r="B231" s="321"/>
      <c r="C231" s="333"/>
      <c r="D231" s="323"/>
      <c r="E231" s="198"/>
      <c r="F231" s="187"/>
      <c r="G231" s="187"/>
      <c r="I231" s="207"/>
    </row>
    <row r="232" spans="2:9">
      <c r="B232" s="321"/>
      <c r="C232" s="333"/>
      <c r="D232" s="323"/>
      <c r="E232" s="198"/>
      <c r="F232" s="187"/>
      <c r="G232" s="187"/>
      <c r="I232" s="207"/>
    </row>
    <row r="233" spans="2:9">
      <c r="B233" s="321"/>
      <c r="C233" s="333"/>
      <c r="D233" s="323"/>
      <c r="E233" s="198"/>
      <c r="F233" s="187"/>
      <c r="G233" s="187"/>
      <c r="I233" s="207"/>
    </row>
    <row r="234" spans="2:9">
      <c r="B234" s="321"/>
      <c r="C234" s="333"/>
      <c r="D234" s="323"/>
      <c r="E234" s="198"/>
      <c r="F234" s="187"/>
      <c r="G234" s="187"/>
      <c r="I234" s="207"/>
    </row>
    <row r="235" spans="2:9">
      <c r="B235" s="321"/>
      <c r="C235" s="333"/>
      <c r="D235" s="323"/>
      <c r="E235" s="198"/>
      <c r="F235" s="187"/>
      <c r="G235" s="187"/>
      <c r="I235" s="207"/>
    </row>
    <row r="236" spans="2:9" ht="12" customHeight="1">
      <c r="B236" s="321"/>
      <c r="C236" s="333"/>
      <c r="D236" s="323"/>
      <c r="E236" s="198"/>
      <c r="F236" s="187"/>
      <c r="G236" s="187"/>
      <c r="I236" s="207"/>
    </row>
    <row r="237" spans="2:9">
      <c r="B237" s="321"/>
      <c r="C237" s="333"/>
      <c r="D237" s="323"/>
      <c r="E237" s="198"/>
      <c r="F237" s="187"/>
      <c r="G237" s="187"/>
      <c r="I237" s="207"/>
    </row>
    <row r="238" spans="2:9">
      <c r="B238" s="321"/>
      <c r="C238" s="333"/>
      <c r="D238" s="323"/>
      <c r="E238" s="198"/>
      <c r="F238" s="187"/>
      <c r="G238" s="187"/>
      <c r="I238" s="207"/>
    </row>
    <row r="239" spans="2:9">
      <c r="B239" s="334"/>
      <c r="C239" s="335"/>
      <c r="D239" s="336"/>
      <c r="E239" s="208"/>
      <c r="F239" s="209"/>
      <c r="G239" s="209"/>
      <c r="I239" s="207"/>
    </row>
    <row r="240" spans="2:9">
      <c r="B240" s="321"/>
      <c r="C240" s="333"/>
      <c r="D240" s="323"/>
      <c r="E240" s="198"/>
      <c r="F240" s="187"/>
      <c r="G240" s="209"/>
      <c r="I240" s="207"/>
    </row>
    <row r="241" spans="2:9">
      <c r="B241" s="321"/>
      <c r="C241" s="333"/>
      <c r="D241" s="323"/>
      <c r="E241" s="198"/>
      <c r="F241" s="187"/>
      <c r="G241" s="209"/>
      <c r="I241" s="207"/>
    </row>
    <row r="242" spans="2:9">
      <c r="B242" s="321"/>
      <c r="C242" s="333"/>
      <c r="D242" s="323"/>
      <c r="E242" s="198"/>
      <c r="F242" s="187"/>
      <c r="G242" s="209"/>
      <c r="I242" s="207"/>
    </row>
    <row r="243" spans="2:9" ht="13.9" thickBot="1">
      <c r="B243" s="337"/>
      <c r="C243" s="338"/>
      <c r="D243" s="339"/>
      <c r="E243" s="210"/>
      <c r="F243" s="211"/>
      <c r="G243" s="211"/>
      <c r="I243" s="207"/>
    </row>
    <row r="244" spans="2:9" ht="13.9" thickTop="1">
      <c r="B244" s="212"/>
      <c r="E244" s="213"/>
      <c r="F244" s="214"/>
      <c r="G244" s="340"/>
    </row>
    <row r="245" spans="2:9">
      <c r="B245" s="215"/>
      <c r="E245" s="213"/>
      <c r="F245" s="216"/>
      <c r="G245" s="188"/>
      <c r="I245" s="207"/>
    </row>
    <row r="246" spans="2:9">
      <c r="B246" s="217"/>
      <c r="C246" s="218"/>
      <c r="D246" s="218"/>
      <c r="E246" s="219"/>
      <c r="F246" s="216"/>
      <c r="G246" s="220"/>
    </row>
    <row r="248" spans="2:9">
      <c r="B248" s="341"/>
    </row>
  </sheetData>
  <mergeCells count="1">
    <mergeCell ref="B4:G4"/>
  </mergeCells>
  <phoneticPr fontId="0" type="noConversion"/>
  <pageMargins left="0.75" right="0.56999999999999995" top="1" bottom="1" header="0.5" footer="0.5"/>
  <pageSetup scale="74" fitToHeight="0" orientation="portrait" r:id="rId1"/>
  <headerFooter alignWithMargins="0">
    <oddHeader>&amp;LWest Mission Bay Drive Bridge
Roadway Improvements&amp;R&amp;D</oddHeader>
    <oddFooter>&amp;L&amp;"Arial,Italic"&amp;8J-13337F
Rick Engineering Company
Prepared by: N. Dorner
Prepared by Date: 4/27/15
Checked by: A.Rojas Colin&amp;C&amp;"Arial,Italic"&amp;8Page &amp;P of &amp;N&amp;R&amp;"Arial,Italic"&amp;8T:\13337F\Administration\Estimates|Opinion of Probable Cost/&amp;F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FF36-40F5-4BDD-AE59-19FA6AC96487}">
  <sheetPr codeName="Sheet16">
    <tabColor rgb="FF92D050"/>
    <pageSetUpPr fitToPage="1"/>
  </sheetPr>
  <dimension ref="A1:Q53"/>
  <sheetViews>
    <sheetView view="pageBreakPreview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168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169</v>
      </c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6">
        <v>502</v>
      </c>
      <c r="C9" s="165" t="s">
        <v>14</v>
      </c>
      <c r="D9" s="234" t="s">
        <v>170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 t="s">
        <v>167</v>
      </c>
      <c r="B18" s="257">
        <f>ROUNDUP(B9,-1)</f>
        <v>510</v>
      </c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A9*B18</f>
        <v>0</v>
      </c>
      <c r="J19" s="166" t="s">
        <v>14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14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7714-72DB-4A70-AACA-B3AA9C15AE77}">
  <sheetPr codeName="Sheet20">
    <tabColor rgb="FFC00000"/>
    <pageSetUpPr fitToPage="1"/>
  </sheetPr>
  <dimension ref="A1:Q53"/>
  <sheetViews>
    <sheetView view="pageBreakPreview" topLeftCell="A4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171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172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8535-3C40-438A-9D6F-58185CB21B99}">
  <sheetPr codeName="Sheet29">
    <tabColor rgb="FF92D050"/>
    <pageSetUpPr fitToPage="1"/>
  </sheetPr>
  <dimension ref="A1:Q53"/>
  <sheetViews>
    <sheetView view="pageBreakPreview" zoomScaleNormal="100" zoomScaleSheetLayoutView="10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174</v>
      </c>
      <c r="B7" s="52"/>
      <c r="C7" s="350" t="s">
        <v>175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176</v>
      </c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2800</v>
      </c>
      <c r="B9" s="157">
        <v>14</v>
      </c>
      <c r="C9" s="165" t="s">
        <v>64</v>
      </c>
      <c r="D9" s="234" t="s">
        <v>177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A9*B9</f>
        <v>39200</v>
      </c>
      <c r="J19" s="166" t="s">
        <v>64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39200</v>
      </c>
      <c r="J20" s="163" t="s">
        <v>64</v>
      </c>
    </row>
    <row r="21" spans="1:10" ht="15" customHeight="1"/>
    <row r="25" spans="1:10">
      <c r="E25" s="232"/>
      <c r="G25" s="232"/>
    </row>
    <row r="46" spans="12:12">
      <c r="L46" s="349"/>
    </row>
    <row r="47" spans="12:12">
      <c r="L47" s="349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A00E-8A20-42DC-AF72-4156683532AC}">
  <sheetPr codeName="Sheet30">
    <tabColor rgb="FF92D050"/>
    <pageSetUpPr fitToPage="1"/>
  </sheetPr>
  <dimension ref="A1:Q104"/>
  <sheetViews>
    <sheetView view="pageBreakPreview" topLeftCell="A7" zoomScale="145" zoomScaleNormal="100" zoomScaleSheetLayoutView="14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3" width="10.7109375" customWidth="1"/>
    <col min="4" max="4" width="11.5703125" customWidth="1"/>
    <col min="5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178</v>
      </c>
      <c r="B7" s="52"/>
      <c r="C7" s="425" t="s">
        <v>179</v>
      </c>
      <c r="D7" s="426"/>
      <c r="E7" s="426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176</v>
      </c>
      <c r="C8" s="164" t="s">
        <v>12</v>
      </c>
      <c r="D8" s="164" t="s">
        <v>180</v>
      </c>
      <c r="E8" s="247" t="s">
        <v>8</v>
      </c>
      <c r="F8" s="248"/>
      <c r="G8" s="248"/>
      <c r="H8" s="248"/>
      <c r="I8" s="248"/>
      <c r="J8" s="248"/>
    </row>
    <row r="9" spans="1:10" ht="15" customHeight="1">
      <c r="A9" s="353">
        <v>9000</v>
      </c>
      <c r="B9" s="157">
        <v>6</v>
      </c>
      <c r="C9" s="165" t="s">
        <v>64</v>
      </c>
      <c r="D9" s="249">
        <f>A9*B9</f>
        <v>54000</v>
      </c>
      <c r="E9" s="427" t="s">
        <v>181</v>
      </c>
      <c r="F9" s="428"/>
      <c r="G9" s="428"/>
      <c r="H9" s="428"/>
      <c r="I9" s="428"/>
      <c r="J9" s="429"/>
    </row>
    <row r="10" spans="1:10" ht="15" customHeight="1">
      <c r="A10" s="353">
        <v>9500</v>
      </c>
      <c r="B10" s="157">
        <v>1</v>
      </c>
      <c r="C10" s="171" t="s">
        <v>182</v>
      </c>
      <c r="D10" s="249">
        <f>A10*B10</f>
        <v>9500</v>
      </c>
      <c r="E10" s="427" t="s">
        <v>183</v>
      </c>
      <c r="F10" s="428"/>
      <c r="G10" s="428"/>
      <c r="H10" s="428"/>
      <c r="I10" s="428"/>
      <c r="J10" s="429"/>
    </row>
    <row r="11" spans="1:10" ht="15" customHeight="1">
      <c r="A11" s="230"/>
      <c r="B11" s="157"/>
      <c r="C11" s="171"/>
      <c r="D11" s="239"/>
      <c r="E11" s="430"/>
      <c r="F11" s="430"/>
      <c r="G11" s="430"/>
      <c r="H11" s="430"/>
      <c r="I11" s="430"/>
      <c r="J11" s="430"/>
    </row>
    <row r="12" spans="1:10" ht="15" customHeight="1">
      <c r="A12" s="230"/>
      <c r="B12" s="158"/>
      <c r="C12" s="171"/>
      <c r="D12" s="239"/>
      <c r="E12" s="424"/>
      <c r="F12" s="424"/>
      <c r="G12" s="424"/>
      <c r="H12" s="424"/>
      <c r="I12" s="424"/>
      <c r="J12" s="424"/>
    </row>
    <row r="13" spans="1:10" ht="15" customHeight="1">
      <c r="A13" s="230"/>
      <c r="B13" s="169"/>
      <c r="C13" s="170"/>
      <c r="D13" s="239"/>
      <c r="E13" s="424"/>
      <c r="F13" s="424"/>
      <c r="G13" s="424"/>
      <c r="H13" s="424"/>
      <c r="I13" s="424"/>
      <c r="J13" s="424"/>
    </row>
    <row r="14" spans="1:10" ht="15" customHeight="1">
      <c r="A14" s="230"/>
      <c r="B14" s="169"/>
      <c r="C14" s="170"/>
      <c r="D14" s="239"/>
      <c r="E14" s="424"/>
      <c r="F14" s="424"/>
      <c r="G14" s="424"/>
      <c r="H14" s="424"/>
      <c r="I14" s="424"/>
      <c r="J14" s="424"/>
    </row>
    <row r="15" spans="1:10" ht="15" customHeight="1">
      <c r="A15" s="230"/>
      <c r="B15" s="169"/>
      <c r="C15" s="170"/>
      <c r="D15" s="239"/>
      <c r="E15" s="424"/>
      <c r="F15" s="424"/>
      <c r="G15" s="424"/>
      <c r="H15" s="424"/>
      <c r="I15" s="424"/>
      <c r="J15" s="424"/>
    </row>
    <row r="16" spans="1:10" ht="15" customHeight="1">
      <c r="A16" s="230"/>
      <c r="B16" s="169"/>
      <c r="C16" s="170"/>
      <c r="D16" s="239"/>
      <c r="E16" s="424"/>
      <c r="F16" s="424"/>
      <c r="G16" s="424"/>
      <c r="H16" s="424"/>
      <c r="I16" s="424"/>
      <c r="J16" s="424"/>
    </row>
    <row r="17" spans="1:10" ht="15" customHeight="1">
      <c r="A17" s="230"/>
      <c r="B17" s="169"/>
      <c r="C17" s="170"/>
      <c r="D17" s="239"/>
      <c r="E17" s="424"/>
      <c r="F17" s="424"/>
      <c r="G17" s="424"/>
      <c r="H17" s="424"/>
      <c r="I17" s="424"/>
      <c r="J17" s="424"/>
    </row>
    <row r="18" spans="1:10" ht="15" customHeight="1" thickBot="1">
      <c r="A18" s="231"/>
      <c r="B18" s="167"/>
      <c r="C18" s="172"/>
      <c r="D18" s="233"/>
      <c r="E18" s="431"/>
      <c r="F18" s="431"/>
      <c r="G18" s="431"/>
      <c r="H18" s="431"/>
      <c r="I18" s="431"/>
      <c r="J18" s="431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SUM(D9:D10)</f>
        <v>63500</v>
      </c>
      <c r="J19" s="166" t="s">
        <v>64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63500</v>
      </c>
      <c r="J20" s="163" t="s">
        <v>64</v>
      </c>
    </row>
    <row r="21" spans="1:10" ht="15" customHeight="1"/>
    <row r="47" spans="12:12">
      <c r="L47" s="349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  <row r="104" spans="12:12">
      <c r="L104" s="349"/>
    </row>
  </sheetData>
  <mergeCells count="11">
    <mergeCell ref="E14:J14"/>
    <mergeCell ref="E15:J15"/>
    <mergeCell ref="E16:J16"/>
    <mergeCell ref="E17:J17"/>
    <mergeCell ref="E18:J18"/>
    <mergeCell ref="E13:J13"/>
    <mergeCell ref="C7:E7"/>
    <mergeCell ref="E9:J9"/>
    <mergeCell ref="E10:J10"/>
    <mergeCell ref="E12:J12"/>
    <mergeCell ref="E11:J11"/>
  </mergeCells>
  <pageMargins left="0.75" right="0.75" top="1" bottom="1" header="0.5" footer="0.5"/>
  <pageSetup scale="67" orientation="portrait" horizontalDpi="4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330A-B5EB-45F1-B223-D785383AC39F}">
  <sheetPr codeName="Sheet34">
    <tabColor rgb="FFC00000"/>
    <pageSetUpPr fitToPage="1"/>
  </sheetPr>
  <dimension ref="A1:Q53"/>
  <sheetViews>
    <sheetView view="pageBreakPreview" topLeftCell="A4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184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185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370D-BA6B-44CB-8C84-7AFE25BFA635}">
  <sheetPr codeName="Sheet33">
    <tabColor rgb="FF92D050"/>
    <pageSetUpPr fitToPage="1"/>
  </sheetPr>
  <dimension ref="A1:Q53"/>
  <sheetViews>
    <sheetView view="pageBreakPreview" topLeftCell="A4" zoomScale="115" zoomScaleNormal="100" zoomScaleSheetLayoutView="11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186</v>
      </c>
      <c r="B7" s="52"/>
      <c r="C7" s="350" t="s">
        <v>187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188</v>
      </c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1200</v>
      </c>
      <c r="B9" s="157">
        <v>4</v>
      </c>
      <c r="C9" s="165" t="s">
        <v>64</v>
      </c>
      <c r="D9" s="234" t="s">
        <v>189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A9*B9</f>
        <v>4800</v>
      </c>
      <c r="J19" s="166" t="s">
        <v>64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4800</v>
      </c>
      <c r="J20" s="163" t="s">
        <v>64</v>
      </c>
    </row>
    <row r="21" spans="1:10" ht="15" customHeight="1"/>
    <row r="23" spans="1:10">
      <c r="A23" s="250"/>
    </row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1FBF-BBC4-45CC-AB09-67E76BDD5F76}">
  <sheetPr codeName="Sheet32">
    <tabColor rgb="FFC00000"/>
    <pageSetUpPr fitToPage="1"/>
  </sheetPr>
  <dimension ref="A1:Q52"/>
  <sheetViews>
    <sheetView view="pageBreakPreview" topLeftCell="A4" zoomScale="130" zoomScaleNormal="100" zoomScaleSheetLayoutView="130" workbookViewId="0">
      <selection activeCell="I20" sqref="I20:I21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432" t="s">
        <v>190</v>
      </c>
      <c r="B7" s="433"/>
      <c r="C7" s="350" t="s">
        <v>191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176</v>
      </c>
      <c r="C8" s="164" t="s">
        <v>12</v>
      </c>
      <c r="D8" s="434" t="s">
        <v>180</v>
      </c>
      <c r="E8" s="435"/>
      <c r="F8" s="436"/>
      <c r="G8" s="174" t="s">
        <v>8</v>
      </c>
      <c r="H8" s="173"/>
      <c r="I8" s="173"/>
      <c r="J8" s="176"/>
    </row>
    <row r="9" spans="1:10" ht="15" customHeight="1">
      <c r="A9" s="353">
        <v>9000</v>
      </c>
      <c r="B9" s="157">
        <v>1</v>
      </c>
      <c r="C9" s="165" t="s">
        <v>64</v>
      </c>
      <c r="D9" s="437">
        <f t="shared" ref="D9:D15" si="0">A9*B9</f>
        <v>9000</v>
      </c>
      <c r="E9" s="422"/>
      <c r="F9" s="423"/>
      <c r="G9" s="234" t="s">
        <v>192</v>
      </c>
      <c r="H9" s="235"/>
      <c r="I9" s="235"/>
      <c r="J9" s="237"/>
    </row>
    <row r="10" spans="1:10" ht="15" customHeight="1">
      <c r="A10" s="353">
        <v>4800</v>
      </c>
      <c r="B10" s="157">
        <v>2</v>
      </c>
      <c r="C10" s="171" t="s">
        <v>64</v>
      </c>
      <c r="D10" s="437">
        <f t="shared" si="0"/>
        <v>9600</v>
      </c>
      <c r="E10" s="422"/>
      <c r="F10" s="423"/>
      <c r="G10" s="239" t="s">
        <v>193</v>
      </c>
      <c r="H10" s="240"/>
      <c r="I10" s="240"/>
      <c r="J10" s="251"/>
    </row>
    <row r="11" spans="1:10" ht="15" customHeight="1">
      <c r="A11" s="353">
        <v>7800</v>
      </c>
      <c r="B11" s="157">
        <v>1</v>
      </c>
      <c r="C11" s="171" t="s">
        <v>64</v>
      </c>
      <c r="D11" s="437">
        <f t="shared" si="0"/>
        <v>7800</v>
      </c>
      <c r="E11" s="422"/>
      <c r="F11" s="423"/>
      <c r="G11" s="234" t="s">
        <v>194</v>
      </c>
      <c r="H11" s="235"/>
      <c r="I11" s="235"/>
      <c r="J11" s="237"/>
    </row>
    <row r="12" spans="1:10" ht="15" customHeight="1">
      <c r="A12" s="353">
        <v>4500</v>
      </c>
      <c r="B12" s="157">
        <v>2</v>
      </c>
      <c r="C12" s="171" t="s">
        <v>64</v>
      </c>
      <c r="D12" s="437">
        <f t="shared" si="0"/>
        <v>9000</v>
      </c>
      <c r="E12" s="422"/>
      <c r="F12" s="423"/>
      <c r="G12" s="239" t="s">
        <v>195</v>
      </c>
      <c r="H12" s="240"/>
      <c r="I12" s="240"/>
      <c r="J12" s="251"/>
    </row>
    <row r="13" spans="1:10" ht="15" customHeight="1">
      <c r="A13" s="353">
        <v>8700</v>
      </c>
      <c r="B13" s="157">
        <v>2</v>
      </c>
      <c r="C13" s="170" t="s">
        <v>64</v>
      </c>
      <c r="D13" s="437">
        <f t="shared" si="0"/>
        <v>17400</v>
      </c>
      <c r="E13" s="422"/>
      <c r="F13" s="423"/>
      <c r="G13" s="239" t="s">
        <v>196</v>
      </c>
      <c r="H13" s="240"/>
      <c r="I13" s="240"/>
      <c r="J13" s="251"/>
    </row>
    <row r="14" spans="1:10" ht="15" customHeight="1">
      <c r="A14" s="357">
        <v>6250</v>
      </c>
      <c r="B14" s="253">
        <v>1</v>
      </c>
      <c r="C14" s="170" t="s">
        <v>64</v>
      </c>
      <c r="D14" s="437">
        <f t="shared" si="0"/>
        <v>6250</v>
      </c>
      <c r="E14" s="422"/>
      <c r="F14" s="423"/>
      <c r="G14" s="239" t="s">
        <v>197</v>
      </c>
      <c r="H14" s="240"/>
      <c r="I14" s="240"/>
      <c r="J14" s="251"/>
    </row>
    <row r="15" spans="1:10" ht="15" customHeight="1">
      <c r="A15" s="358">
        <v>11000</v>
      </c>
      <c r="B15" s="157">
        <v>1</v>
      </c>
      <c r="C15" s="171" t="s">
        <v>64</v>
      </c>
      <c r="D15" s="437">
        <f t="shared" si="0"/>
        <v>11000</v>
      </c>
      <c r="E15" s="422"/>
      <c r="F15" s="423"/>
      <c r="G15" s="241" t="s">
        <v>198</v>
      </c>
      <c r="H15" s="241"/>
      <c r="I15" s="241"/>
      <c r="J15" s="241"/>
    </row>
    <row r="16" spans="1:10" ht="15" customHeight="1">
      <c r="A16" s="358"/>
      <c r="B16" s="157"/>
      <c r="C16" s="171"/>
      <c r="D16" s="437"/>
      <c r="E16" s="422"/>
      <c r="F16" s="423"/>
      <c r="G16" s="240"/>
      <c r="H16" s="240"/>
      <c r="I16" s="241"/>
      <c r="J16" s="241"/>
    </row>
    <row r="17" spans="1:11" ht="15" customHeight="1">
      <c r="A17" s="256" t="s">
        <v>180</v>
      </c>
      <c r="B17" s="171">
        <f>SUM(B9:B15)</f>
        <v>10</v>
      </c>
      <c r="C17" s="171"/>
      <c r="D17" s="437">
        <f>SUM(D9:D16)</f>
        <v>70050</v>
      </c>
      <c r="E17" s="422"/>
      <c r="F17" s="423"/>
      <c r="G17" s="240"/>
      <c r="H17" s="240"/>
      <c r="I17" s="241"/>
      <c r="J17" s="241"/>
    </row>
    <row r="18" spans="1:11" ht="15" customHeight="1">
      <c r="A18" s="230"/>
      <c r="B18" s="169"/>
      <c r="C18" s="170"/>
      <c r="D18" s="438" t="s">
        <v>199</v>
      </c>
      <c r="E18" s="439"/>
      <c r="F18" s="439"/>
      <c r="G18" s="439"/>
      <c r="H18" s="439"/>
      <c r="I18" s="439"/>
      <c r="J18" s="440"/>
    </row>
    <row r="19" spans="1:11" ht="15" customHeight="1" thickBot="1">
      <c r="A19" s="231"/>
      <c r="B19" s="167"/>
      <c r="C19" s="172"/>
      <c r="D19" s="441"/>
      <c r="E19" s="442"/>
      <c r="F19" s="442"/>
      <c r="G19" s="442"/>
      <c r="H19" s="442"/>
      <c r="I19" s="442"/>
      <c r="J19" s="443"/>
    </row>
    <row r="20" spans="1:11" ht="15" customHeight="1" thickTop="1">
      <c r="A20" s="159"/>
      <c r="B20" s="155"/>
      <c r="C20" s="155"/>
      <c r="D20" s="155"/>
      <c r="E20" s="155"/>
      <c r="F20" s="156"/>
      <c r="G20" s="156" t="s">
        <v>16</v>
      </c>
      <c r="H20" s="156"/>
      <c r="I20" s="260">
        <f>D17</f>
        <v>70050</v>
      </c>
      <c r="J20" s="166" t="s">
        <v>64</v>
      </c>
    </row>
    <row r="21" spans="1:11" ht="15" customHeight="1" thickBot="1">
      <c r="A21" s="160"/>
      <c r="B21" s="161"/>
      <c r="C21" s="161"/>
      <c r="D21" s="161"/>
      <c r="E21" s="161"/>
      <c r="F21" s="162"/>
      <c r="G21" s="162"/>
      <c r="H21" s="168" t="s">
        <v>17</v>
      </c>
      <c r="I21" s="261"/>
      <c r="J21" s="163" t="s">
        <v>64</v>
      </c>
      <c r="K21" t="s">
        <v>200</v>
      </c>
    </row>
    <row r="22" spans="1:11" ht="15" customHeight="1"/>
    <row r="24" spans="1:11">
      <c r="E24" s="232"/>
      <c r="G24" s="232"/>
    </row>
    <row r="47" spans="12:12">
      <c r="L47" s="349"/>
    </row>
    <row r="49" spans="12:17">
      <c r="L49" s="349"/>
    </row>
    <row r="50" spans="12:17">
      <c r="L50" s="349"/>
      <c r="M50" s="349"/>
      <c r="O50" s="349"/>
      <c r="Q50" s="349"/>
    </row>
    <row r="52" spans="12:17">
      <c r="L52" s="349"/>
    </row>
  </sheetData>
  <mergeCells count="12">
    <mergeCell ref="A7:B7"/>
    <mergeCell ref="D8:F8"/>
    <mergeCell ref="D17:F17"/>
    <mergeCell ref="D18:J19"/>
    <mergeCell ref="D9:F9"/>
    <mergeCell ref="D10:F10"/>
    <mergeCell ref="D11:F11"/>
    <mergeCell ref="D12:F12"/>
    <mergeCell ref="D13:F13"/>
    <mergeCell ref="D14:F14"/>
    <mergeCell ref="D16:F16"/>
    <mergeCell ref="D15:F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2129-CEAF-41F2-A9F0-830F6AC7A511}">
  <sheetPr codeName="Sheet36">
    <tabColor rgb="FF92D050"/>
    <pageSetUpPr fitToPage="1"/>
  </sheetPr>
  <dimension ref="A1:Q53"/>
  <sheetViews>
    <sheetView view="pageBreakPreview" topLeftCell="A4" zoomScaleNormal="100" zoomScaleSheetLayoutView="10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3" width="11.7109375" customWidth="1"/>
    <col min="4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201</v>
      </c>
      <c r="B7" s="52"/>
      <c r="C7" s="350" t="s">
        <v>202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169</v>
      </c>
      <c r="C8" s="164" t="s">
        <v>180</v>
      </c>
      <c r="D8" s="164" t="s">
        <v>12</v>
      </c>
      <c r="E8" s="174" t="s">
        <v>8</v>
      </c>
      <c r="F8" s="175"/>
      <c r="G8" s="229"/>
      <c r="H8" s="173"/>
      <c r="I8" s="173"/>
      <c r="J8" s="176"/>
    </row>
    <row r="9" spans="1:10" ht="15" customHeight="1">
      <c r="A9" s="353">
        <v>350</v>
      </c>
      <c r="B9" s="157">
        <v>256</v>
      </c>
      <c r="C9" s="244">
        <f>A9*B9</f>
        <v>89600</v>
      </c>
      <c r="D9" s="165" t="s">
        <v>14</v>
      </c>
      <c r="E9" s="447" t="s">
        <v>203</v>
      </c>
      <c r="F9" s="448"/>
      <c r="G9" s="448"/>
      <c r="H9" s="448"/>
      <c r="I9" s="448"/>
      <c r="J9" s="449"/>
    </row>
    <row r="10" spans="1:10" ht="15" customHeight="1">
      <c r="A10" s="230"/>
      <c r="B10" s="157"/>
      <c r="C10" s="171"/>
      <c r="D10" s="171"/>
      <c r="E10" s="447"/>
      <c r="F10" s="448"/>
      <c r="G10" s="448"/>
      <c r="H10" s="448"/>
      <c r="I10" s="448"/>
      <c r="J10" s="449"/>
    </row>
    <row r="11" spans="1:10" ht="15" customHeight="1">
      <c r="A11" s="230"/>
      <c r="B11" s="157"/>
      <c r="C11" s="171"/>
      <c r="D11" s="171"/>
      <c r="E11" s="447"/>
      <c r="F11" s="448"/>
      <c r="G11" s="448"/>
      <c r="H11" s="448"/>
      <c r="I11" s="448"/>
      <c r="J11" s="449"/>
    </row>
    <row r="12" spans="1:10" ht="15" customHeight="1">
      <c r="A12" s="230"/>
      <c r="B12" s="158"/>
      <c r="C12" s="171"/>
      <c r="D12" s="171"/>
      <c r="E12" s="447"/>
      <c r="F12" s="448"/>
      <c r="G12" s="448"/>
      <c r="H12" s="448"/>
      <c r="I12" s="448"/>
      <c r="J12" s="449"/>
    </row>
    <row r="13" spans="1:10" ht="15" customHeight="1">
      <c r="A13" s="230"/>
      <c r="B13" s="169"/>
      <c r="C13" s="170"/>
      <c r="D13" s="170"/>
      <c r="E13" s="447"/>
      <c r="F13" s="448"/>
      <c r="G13" s="448"/>
      <c r="H13" s="448"/>
      <c r="I13" s="448"/>
      <c r="J13" s="449"/>
    </row>
    <row r="14" spans="1:10" ht="15" customHeight="1">
      <c r="A14" s="230"/>
      <c r="B14" s="169"/>
      <c r="C14" s="170"/>
      <c r="D14" s="170"/>
      <c r="E14" s="418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170"/>
      <c r="E15" s="418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170"/>
      <c r="E16" s="418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170"/>
      <c r="E17" s="418"/>
      <c r="F17" s="419"/>
      <c r="G17" s="419"/>
      <c r="H17" s="419"/>
      <c r="I17" s="419"/>
      <c r="J17" s="420"/>
    </row>
    <row r="18" spans="1:10" ht="15" customHeight="1" thickBot="1">
      <c r="A18" s="231" t="s">
        <v>204</v>
      </c>
      <c r="B18" s="172">
        <f>ROUNDUP(B9,-1)</f>
        <v>260</v>
      </c>
      <c r="C18" s="172"/>
      <c r="D18" s="172"/>
      <c r="E18" s="444"/>
      <c r="F18" s="445"/>
      <c r="G18" s="445"/>
      <c r="H18" s="445"/>
      <c r="I18" s="445"/>
      <c r="J18" s="446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B18*A9</f>
        <v>91000</v>
      </c>
      <c r="J19" s="166" t="s">
        <v>14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91000</v>
      </c>
      <c r="J20" s="163" t="s">
        <v>14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10">
    <mergeCell ref="E18:J18"/>
    <mergeCell ref="E9:J9"/>
    <mergeCell ref="E10:J10"/>
    <mergeCell ref="E11:J11"/>
    <mergeCell ref="E12:J12"/>
    <mergeCell ref="E13:J13"/>
    <mergeCell ref="E14:J14"/>
    <mergeCell ref="E15:J15"/>
    <mergeCell ref="E16:J16"/>
    <mergeCell ref="E17:J17"/>
  </mergeCells>
  <pageMargins left="0.75" right="0.75" top="1" bottom="1" header="0.5" footer="0.5"/>
  <pageSetup scale="67" orientation="portrait" horizontalDpi="4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5213-9EF6-4D4F-A8EE-8CBC994F06B4}">
  <sheetPr codeName="Sheet38">
    <tabColor rgb="FFC00000"/>
    <pageSetUpPr fitToPage="1"/>
  </sheetPr>
  <dimension ref="A1:Q53"/>
  <sheetViews>
    <sheetView view="pageBreakPreview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205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206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5362-1C3D-459D-B3A1-480BDA1F606F}">
  <sheetPr codeName="Sheet39">
    <tabColor rgb="FFC00000"/>
    <pageSetUpPr fitToPage="1"/>
  </sheetPr>
  <dimension ref="A1:Q53"/>
  <sheetViews>
    <sheetView view="pageBreakPreview" topLeftCell="A4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207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208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BF11-B560-4778-9953-9D282B919299}">
  <sheetPr codeName="Sheet2">
    <tabColor rgb="FFC00000"/>
    <pageSetUpPr fitToPage="1"/>
  </sheetPr>
  <dimension ref="A1:K18"/>
  <sheetViews>
    <sheetView zoomScaleNormal="100" zoomScaleSheetLayoutView="100" workbookViewId="0">
      <selection activeCell="G49" sqref="G49"/>
    </sheetView>
  </sheetViews>
  <sheetFormatPr defaultRowHeight="13.15"/>
  <cols>
    <col min="8" max="8" width="12.28515625" customWidth="1"/>
  </cols>
  <sheetData>
    <row r="1" spans="1:11" ht="15.6">
      <c r="A1" s="25" t="s">
        <v>0</v>
      </c>
      <c r="B1" s="26"/>
      <c r="C1" s="26"/>
      <c r="D1" s="27"/>
      <c r="E1" s="27"/>
      <c r="F1" s="27"/>
      <c r="G1" s="27"/>
      <c r="H1" s="26" t="s">
        <v>1</v>
      </c>
      <c r="I1" s="27"/>
      <c r="J1" s="27"/>
      <c r="K1" s="28"/>
    </row>
    <row r="2" spans="1:11">
      <c r="A2" s="29"/>
      <c r="K2" s="30"/>
    </row>
    <row r="3" spans="1:11">
      <c r="A3" s="31" t="s">
        <v>2</v>
      </c>
      <c r="B3" s="1"/>
      <c r="C3" t="str">
        <f>'Line Items'!B1</f>
        <v>SDYS - Green Stormwater Demonstration</v>
      </c>
      <c r="H3" s="1" t="s">
        <v>3</v>
      </c>
      <c r="I3" s="342"/>
      <c r="J3" s="1" t="s">
        <v>4</v>
      </c>
      <c r="K3" s="32"/>
    </row>
    <row r="4" spans="1:11">
      <c r="A4" s="31" t="s">
        <v>5</v>
      </c>
      <c r="B4" s="1"/>
      <c r="C4">
        <f>'Line Items'!B2</f>
        <v>0</v>
      </c>
      <c r="H4" s="1" t="s">
        <v>6</v>
      </c>
      <c r="I4" s="343"/>
      <c r="J4" s="1" t="s">
        <v>4</v>
      </c>
      <c r="K4" s="32"/>
    </row>
    <row r="5" spans="1:11">
      <c r="A5" s="31"/>
      <c r="B5" s="1"/>
      <c r="C5" s="1"/>
      <c r="H5" s="1"/>
      <c r="J5" s="1"/>
      <c r="K5" s="33"/>
    </row>
    <row r="6" spans="1:11">
      <c r="A6" s="29"/>
      <c r="H6" s="1"/>
      <c r="J6" s="1"/>
      <c r="K6" s="30"/>
    </row>
    <row r="7" spans="1:11">
      <c r="A7" s="34" t="s">
        <v>7</v>
      </c>
      <c r="B7" s="17"/>
      <c r="C7" s="18"/>
      <c r="D7" s="19" t="s">
        <v>8</v>
      </c>
      <c r="E7" s="20"/>
      <c r="F7" s="20"/>
      <c r="G7" s="20"/>
      <c r="H7" s="21"/>
      <c r="I7" s="20"/>
      <c r="J7" s="20"/>
      <c r="K7" s="35"/>
    </row>
    <row r="8" spans="1:11" ht="13.9" thickBot="1">
      <c r="A8" s="344" t="s">
        <v>9</v>
      </c>
      <c r="B8" s="10"/>
      <c r="C8" s="52"/>
      <c r="D8" s="11" t="s">
        <v>10</v>
      </c>
      <c r="E8" s="12"/>
      <c r="F8" s="12"/>
      <c r="G8" s="12"/>
      <c r="H8" s="13"/>
      <c r="I8" s="12"/>
      <c r="J8" s="12"/>
      <c r="K8" s="37"/>
    </row>
    <row r="9" spans="1:11" ht="13.9" thickTop="1">
      <c r="A9" s="38"/>
      <c r="B9" s="50"/>
      <c r="C9" s="55"/>
      <c r="D9" s="56"/>
      <c r="H9" s="4"/>
      <c r="K9" s="30"/>
    </row>
    <row r="10" spans="1:11">
      <c r="A10" s="53" t="s">
        <v>11</v>
      </c>
      <c r="B10" s="54"/>
      <c r="C10" s="49"/>
      <c r="D10" s="49" t="s">
        <v>12</v>
      </c>
      <c r="E10" s="16"/>
      <c r="F10" s="16"/>
      <c r="G10" s="16"/>
      <c r="H10" s="5" t="s">
        <v>8</v>
      </c>
      <c r="K10" s="30"/>
    </row>
    <row r="11" spans="1:11">
      <c r="A11" s="345" t="s">
        <v>13</v>
      </c>
      <c r="B11" s="6"/>
      <c r="C11" s="6"/>
      <c r="D11" s="51" t="s">
        <v>14</v>
      </c>
      <c r="E11" s="15"/>
      <c r="F11" s="15"/>
      <c r="G11" s="50"/>
      <c r="H11" s="8"/>
      <c r="I11" s="8"/>
      <c r="J11" s="8"/>
      <c r="K11" s="40"/>
    </row>
    <row r="12" spans="1:11">
      <c r="A12" s="41"/>
      <c r="B12" s="22"/>
      <c r="C12" s="22"/>
      <c r="D12" s="22"/>
      <c r="E12" s="14"/>
      <c r="F12" s="15"/>
      <c r="G12" s="15"/>
      <c r="H12" s="24"/>
      <c r="I12" s="2"/>
      <c r="J12" s="2"/>
      <c r="K12" s="33"/>
    </row>
    <row r="13" spans="1:11">
      <c r="A13" s="346"/>
      <c r="B13" s="347"/>
      <c r="C13" s="22"/>
      <c r="D13" s="22"/>
      <c r="E13" s="14"/>
      <c r="F13" s="15"/>
      <c r="G13" s="15"/>
      <c r="H13" s="4"/>
      <c r="K13" s="30"/>
    </row>
    <row r="14" spans="1:11">
      <c r="A14" s="41"/>
      <c r="B14" s="23"/>
      <c r="C14" s="23"/>
      <c r="D14" s="347"/>
      <c r="E14" s="14"/>
      <c r="F14" s="15"/>
      <c r="G14" s="15"/>
      <c r="H14" s="4"/>
      <c r="K14" s="30"/>
    </row>
    <row r="15" spans="1:11" ht="13.9" thickBot="1">
      <c r="A15" s="153"/>
      <c r="B15" s="80"/>
      <c r="C15" s="80"/>
      <c r="D15" s="348" t="s">
        <v>15</v>
      </c>
      <c r="E15" s="96"/>
      <c r="F15" s="97"/>
      <c r="G15" s="97"/>
      <c r="H15" s="65"/>
      <c r="I15" s="57"/>
      <c r="J15" s="57"/>
      <c r="K15" s="70"/>
    </row>
    <row r="16" spans="1:11" ht="13.9" thickTop="1">
      <c r="A16" s="29"/>
      <c r="G16" s="1"/>
      <c r="H16" s="1" t="s">
        <v>16</v>
      </c>
      <c r="I16" s="1"/>
      <c r="J16" s="16">
        <f>SUM(D12:D15)</f>
        <v>0</v>
      </c>
      <c r="K16" s="71" t="s">
        <v>14</v>
      </c>
    </row>
    <row r="17" spans="1:11" ht="13.9" thickBot="1">
      <c r="A17" s="42"/>
      <c r="B17" s="43"/>
      <c r="C17" s="43"/>
      <c r="D17" s="43"/>
      <c r="E17" s="43"/>
      <c r="F17" s="43"/>
      <c r="G17" s="44"/>
      <c r="H17" s="44"/>
      <c r="I17" s="86" t="s">
        <v>17</v>
      </c>
      <c r="J17" s="73"/>
      <c r="K17" s="47"/>
    </row>
    <row r="18" spans="1:11">
      <c r="A18" t="s">
        <v>18</v>
      </c>
      <c r="B18" s="349"/>
    </row>
  </sheetData>
  <phoneticPr fontId="0" type="noConversion"/>
  <pageMargins left="0.75" right="0.75" top="1" bottom="1" header="0.5" footer="0.5"/>
  <pageSetup scale="90" orientation="portrait" horizontalDpi="4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C81E-416C-4839-B178-05AAFF1E63B8}">
  <sheetPr codeName="Sheet40">
    <tabColor rgb="FFC00000"/>
    <pageSetUpPr fitToPage="1"/>
  </sheetPr>
  <dimension ref="A1:Q53"/>
  <sheetViews>
    <sheetView view="pageBreakPreview" topLeftCell="A10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209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210</v>
      </c>
      <c r="C8" s="164"/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>
        <v>0</v>
      </c>
      <c r="C9" s="165"/>
      <c r="D9" s="234" t="s">
        <v>211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2980-F0CE-43AE-8B2B-3775BEBA1203}">
  <sheetPr codeName="Sheet41">
    <tabColor rgb="FFC00000"/>
    <pageSetUpPr fitToPage="1"/>
  </sheetPr>
  <dimension ref="A1:Q53"/>
  <sheetViews>
    <sheetView view="pageBreakPreview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212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213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01E6-A6AA-4F5B-B286-D80924963F9B}">
  <sheetPr codeName="Sheet42">
    <tabColor rgb="FFC00000"/>
    <pageSetUpPr fitToPage="1"/>
  </sheetPr>
  <dimension ref="A1:Q53"/>
  <sheetViews>
    <sheetView view="pageBreakPreview" zoomScale="130" zoomScaleNormal="100" zoomScaleSheetLayoutView="13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97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0</v>
      </c>
      <c r="B9" s="354"/>
      <c r="C9" s="165">
        <v>1</v>
      </c>
      <c r="D9" s="234" t="s">
        <v>214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 t="s">
        <v>173</v>
      </c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A9*C9</f>
        <v>0</v>
      </c>
      <c r="J19" s="166" t="s">
        <v>53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53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1F1-A983-4C34-85C0-741B38920524}">
  <sheetPr codeName="Sheet43">
    <tabColor rgb="FF92D050"/>
    <pageSetUpPr fitToPage="1"/>
  </sheetPr>
  <dimension ref="A1:Q53"/>
  <sheetViews>
    <sheetView view="pageBreakPreview" zoomScaleNormal="100" zoomScaleSheetLayoutView="10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215</v>
      </c>
      <c r="B7" s="52"/>
      <c r="C7" s="350" t="s">
        <v>216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169</v>
      </c>
      <c r="C8" s="164" t="s">
        <v>180</v>
      </c>
      <c r="D8" s="164" t="s">
        <v>12</v>
      </c>
      <c r="E8" s="174" t="s">
        <v>8</v>
      </c>
      <c r="F8" s="175"/>
      <c r="G8" s="229"/>
      <c r="H8" s="173"/>
      <c r="I8" s="173"/>
      <c r="J8" s="176"/>
    </row>
    <row r="9" spans="1:10" ht="15" customHeight="1">
      <c r="A9" s="353">
        <v>65</v>
      </c>
      <c r="B9" s="157">
        <v>37</v>
      </c>
      <c r="C9" s="244">
        <f>A9*B9</f>
        <v>2405</v>
      </c>
      <c r="D9" s="165" t="s">
        <v>14</v>
      </c>
      <c r="E9" s="447" t="s">
        <v>217</v>
      </c>
      <c r="F9" s="448"/>
      <c r="G9" s="448"/>
      <c r="H9" s="448"/>
      <c r="I9" s="448"/>
      <c r="J9" s="449"/>
    </row>
    <row r="10" spans="1:10" ht="15" customHeight="1">
      <c r="A10" s="230"/>
      <c r="B10" s="157"/>
      <c r="C10" s="171"/>
      <c r="D10" s="171"/>
      <c r="E10" s="447"/>
      <c r="F10" s="448"/>
      <c r="G10" s="448"/>
      <c r="H10" s="448"/>
      <c r="I10" s="448"/>
      <c r="J10" s="449"/>
    </row>
    <row r="11" spans="1:10" ht="15" customHeight="1">
      <c r="A11" s="230"/>
      <c r="B11" s="157"/>
      <c r="C11" s="171"/>
      <c r="D11" s="171"/>
      <c r="E11" s="447"/>
      <c r="F11" s="448"/>
      <c r="G11" s="448"/>
      <c r="H11" s="448"/>
      <c r="I11" s="448"/>
      <c r="J11" s="449"/>
    </row>
    <row r="12" spans="1:10" ht="15" customHeight="1">
      <c r="A12" s="230"/>
      <c r="B12" s="158"/>
      <c r="C12" s="171"/>
      <c r="D12" s="171"/>
      <c r="E12" s="447"/>
      <c r="F12" s="448"/>
      <c r="G12" s="448"/>
      <c r="H12" s="448"/>
      <c r="I12" s="448"/>
      <c r="J12" s="449"/>
    </row>
    <row r="13" spans="1:10" ht="15" customHeight="1">
      <c r="A13" s="230"/>
      <c r="B13" s="169"/>
      <c r="C13" s="170"/>
      <c r="D13" s="170"/>
      <c r="E13" s="447"/>
      <c r="F13" s="448"/>
      <c r="G13" s="448"/>
      <c r="H13" s="448"/>
      <c r="I13" s="448"/>
      <c r="J13" s="449"/>
    </row>
    <row r="14" spans="1:10" ht="15" customHeight="1">
      <c r="A14" s="230"/>
      <c r="B14" s="169"/>
      <c r="C14" s="170"/>
      <c r="D14" s="170"/>
      <c r="E14" s="418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170"/>
      <c r="E15" s="418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170"/>
      <c r="E16" s="418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170"/>
      <c r="E17" s="418"/>
      <c r="F17" s="419"/>
      <c r="G17" s="419"/>
      <c r="H17" s="419"/>
      <c r="I17" s="419"/>
      <c r="J17" s="420"/>
    </row>
    <row r="18" spans="1:10" ht="15" customHeight="1" thickBot="1">
      <c r="A18" s="231" t="s">
        <v>204</v>
      </c>
      <c r="B18" s="172">
        <v>40</v>
      </c>
      <c r="C18" s="172"/>
      <c r="D18" s="172"/>
      <c r="E18" s="444"/>
      <c r="F18" s="445"/>
      <c r="G18" s="445"/>
      <c r="H18" s="445"/>
      <c r="I18" s="445"/>
      <c r="J18" s="446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B18*A9</f>
        <v>2600</v>
      </c>
      <c r="J19" s="166" t="s">
        <v>14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2600</v>
      </c>
      <c r="J20" s="163" t="s">
        <v>14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10">
    <mergeCell ref="E17:J17"/>
    <mergeCell ref="E18:J18"/>
    <mergeCell ref="E9:J9"/>
    <mergeCell ref="E10:J10"/>
    <mergeCell ref="E11:J11"/>
    <mergeCell ref="E12:J12"/>
    <mergeCell ref="E13:J13"/>
    <mergeCell ref="E14:J14"/>
    <mergeCell ref="E15:J15"/>
    <mergeCell ref="E16:J16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BCEA-1758-4A4B-9F20-53F06E1D1264}">
  <sheetPr codeName="Sheet44">
    <tabColor rgb="FF92D050"/>
    <pageSetUpPr fitToPage="1"/>
  </sheetPr>
  <dimension ref="A1:Q53"/>
  <sheetViews>
    <sheetView view="pageBreakPreview" topLeftCell="A4" zoomScale="115" zoomScaleNormal="100" zoomScaleSheetLayoutView="11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3" width="25.7109375" bestFit="1" customWidth="1"/>
    <col min="4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218</v>
      </c>
      <c r="B7" s="52"/>
      <c r="C7" s="350" t="s">
        <v>219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169</v>
      </c>
      <c r="C8" s="164" t="s">
        <v>180</v>
      </c>
      <c r="D8" s="164" t="s">
        <v>12</v>
      </c>
      <c r="E8" s="174" t="s">
        <v>8</v>
      </c>
      <c r="F8" s="175"/>
      <c r="G8" s="229"/>
      <c r="H8" s="173"/>
      <c r="I8" s="173"/>
      <c r="J8" s="176"/>
    </row>
    <row r="9" spans="1:10" ht="15" customHeight="1">
      <c r="A9" s="353">
        <v>35</v>
      </c>
      <c r="B9" s="157">
        <v>791</v>
      </c>
      <c r="C9" s="244">
        <f>A9*B9</f>
        <v>27685</v>
      </c>
      <c r="D9" s="165" t="s">
        <v>14</v>
      </c>
      <c r="E9" s="438" t="s">
        <v>220</v>
      </c>
      <c r="F9" s="439"/>
      <c r="G9" s="439"/>
      <c r="H9" s="439"/>
      <c r="I9" s="439"/>
      <c r="J9" s="450"/>
    </row>
    <row r="10" spans="1:10" ht="15" customHeight="1">
      <c r="A10" s="230"/>
      <c r="B10" s="157"/>
      <c r="C10" s="171"/>
      <c r="D10" s="171"/>
      <c r="E10" s="451"/>
      <c r="F10" s="452"/>
      <c r="G10" s="452"/>
      <c r="H10" s="452"/>
      <c r="I10" s="452"/>
      <c r="J10" s="453"/>
    </row>
    <row r="11" spans="1:10" ht="15" customHeight="1">
      <c r="A11" s="230"/>
      <c r="B11" s="157"/>
      <c r="C11" s="171"/>
      <c r="D11" s="171"/>
      <c r="E11" s="447"/>
      <c r="F11" s="448"/>
      <c r="G11" s="448"/>
      <c r="H11" s="448"/>
      <c r="I11" s="448"/>
      <c r="J11" s="449"/>
    </row>
    <row r="12" spans="1:10" ht="15" customHeight="1">
      <c r="A12" s="230"/>
      <c r="B12" s="158"/>
      <c r="C12" s="171"/>
      <c r="D12" s="171"/>
      <c r="E12" s="447"/>
      <c r="F12" s="448"/>
      <c r="G12" s="448"/>
      <c r="H12" s="448"/>
      <c r="I12" s="448"/>
      <c r="J12" s="449"/>
    </row>
    <row r="13" spans="1:10" ht="15" customHeight="1">
      <c r="A13" s="230"/>
      <c r="B13" s="169"/>
      <c r="C13" s="170"/>
      <c r="D13" s="170"/>
      <c r="E13" s="447"/>
      <c r="F13" s="448"/>
      <c r="G13" s="448"/>
      <c r="H13" s="448"/>
      <c r="I13" s="448"/>
      <c r="J13" s="449"/>
    </row>
    <row r="14" spans="1:10" ht="15" customHeight="1">
      <c r="A14" s="230"/>
      <c r="B14" s="169"/>
      <c r="C14" s="170"/>
      <c r="D14" s="170"/>
      <c r="E14" s="418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170"/>
      <c r="E15" s="418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170"/>
      <c r="E16" s="418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170"/>
      <c r="E17" s="418"/>
      <c r="F17" s="419"/>
      <c r="G17" s="419"/>
      <c r="H17" s="419"/>
      <c r="I17" s="419"/>
      <c r="J17" s="420"/>
    </row>
    <row r="18" spans="1:10" ht="15" customHeight="1" thickBot="1">
      <c r="A18" s="231" t="s">
        <v>204</v>
      </c>
      <c r="B18" s="172">
        <f>ROUNDUP(B9,-1)</f>
        <v>800</v>
      </c>
      <c r="C18" s="172"/>
      <c r="D18" s="172"/>
      <c r="E18" s="444"/>
      <c r="F18" s="445"/>
      <c r="G18" s="445"/>
      <c r="H18" s="445"/>
      <c r="I18" s="445"/>
      <c r="J18" s="446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A9*B18</f>
        <v>28000</v>
      </c>
      <c r="J19" s="166" t="s">
        <v>14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28000</v>
      </c>
      <c r="J20" s="163" t="s">
        <v>14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9">
    <mergeCell ref="E17:J17"/>
    <mergeCell ref="E18:J18"/>
    <mergeCell ref="E9:J10"/>
    <mergeCell ref="E11:J11"/>
    <mergeCell ref="E12:J12"/>
    <mergeCell ref="E13:J13"/>
    <mergeCell ref="E14:J14"/>
    <mergeCell ref="E15:J15"/>
    <mergeCell ref="E16:J16"/>
  </mergeCells>
  <pageMargins left="0.75" right="0.75" top="1" bottom="1" header="0.5" footer="0.5"/>
  <pageSetup scale="61" orientation="portrait" horizontalDpi="4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69D9-FC5E-4A97-801C-D60B09335E51}">
  <sheetPr codeName="Sheet45">
    <tabColor rgb="FF92D050"/>
    <pageSetUpPr fitToPage="1"/>
  </sheetPr>
  <dimension ref="A1:Q53"/>
  <sheetViews>
    <sheetView view="pageBreakPreview" zoomScale="115" zoomScaleNormal="100" zoomScaleSheetLayoutView="11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221</v>
      </c>
      <c r="B7" s="52"/>
      <c r="C7" s="350" t="s">
        <v>222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>
        <v>1500</v>
      </c>
      <c r="B9" s="157">
        <v>7</v>
      </c>
      <c r="C9" s="165" t="s">
        <v>64</v>
      </c>
      <c r="D9" s="454" t="s">
        <v>223</v>
      </c>
      <c r="E9" s="455"/>
      <c r="F9" s="455"/>
      <c r="G9" s="455"/>
      <c r="H9" s="455"/>
      <c r="I9" s="455"/>
      <c r="J9" s="456"/>
    </row>
    <row r="10" spans="1:10" ht="15" customHeight="1">
      <c r="A10" s="230"/>
      <c r="B10" s="157"/>
      <c r="C10" s="171"/>
      <c r="D10" s="457"/>
      <c r="E10" s="458"/>
      <c r="F10" s="458"/>
      <c r="G10" s="458"/>
      <c r="H10" s="458"/>
      <c r="I10" s="458"/>
      <c r="J10" s="459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A9*B9</f>
        <v>10500</v>
      </c>
      <c r="J19" s="166" t="s">
        <v>64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10500</v>
      </c>
      <c r="J20" s="163" t="s">
        <v>64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9:J10"/>
    <mergeCell ref="D16:J16"/>
    <mergeCell ref="D17:J17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60B8-1E13-4FA5-B3B2-50CEFD5AAF44}">
  <sheetPr codeName="Sheet47">
    <tabColor rgb="FFC00000"/>
    <pageSetUpPr fitToPage="1"/>
  </sheetPr>
  <dimension ref="A1:Q53"/>
  <sheetViews>
    <sheetView view="pageBreakPreview" topLeftCell="A4" zoomScaleNormal="100" zoomScaleSheetLayoutView="10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224</v>
      </c>
      <c r="B7" s="52"/>
      <c r="C7" s="350" t="s">
        <v>225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/>
      <c r="D8" s="174" t="s">
        <v>62</v>
      </c>
      <c r="E8" s="174"/>
      <c r="F8" s="174" t="s">
        <v>12</v>
      </c>
      <c r="G8" s="174" t="s">
        <v>8</v>
      </c>
      <c r="H8" s="173"/>
      <c r="I8" s="173"/>
      <c r="J8" s="176"/>
    </row>
    <row r="9" spans="1:10" ht="15" customHeight="1">
      <c r="A9" s="353">
        <v>90</v>
      </c>
      <c r="B9" s="157"/>
      <c r="C9" s="165"/>
      <c r="D9" s="242">
        <v>3434.5</v>
      </c>
      <c r="E9" s="242"/>
      <c r="F9" s="242" t="s">
        <v>62</v>
      </c>
      <c r="G9" s="464" t="s">
        <v>226</v>
      </c>
      <c r="H9" s="464"/>
      <c r="I9" s="464"/>
      <c r="J9" s="465"/>
    </row>
    <row r="10" spans="1:10" ht="15" customHeight="1">
      <c r="A10" s="230"/>
      <c r="B10" s="157"/>
      <c r="C10" s="171"/>
      <c r="D10" s="241"/>
      <c r="E10" s="241"/>
      <c r="F10" s="241"/>
      <c r="G10" s="464"/>
      <c r="H10" s="464"/>
      <c r="I10" s="464"/>
      <c r="J10" s="465"/>
    </row>
    <row r="11" spans="1:10" ht="15" customHeight="1">
      <c r="A11" s="230"/>
      <c r="B11" s="157"/>
      <c r="C11" s="171"/>
      <c r="D11" s="241"/>
      <c r="E11" s="241"/>
      <c r="F11" s="241"/>
      <c r="G11" s="464"/>
      <c r="H11" s="464"/>
      <c r="I11" s="464"/>
      <c r="J11" s="465"/>
    </row>
    <row r="12" spans="1:10" ht="15" customHeight="1">
      <c r="A12" s="230"/>
      <c r="B12" s="158"/>
      <c r="C12" s="171"/>
      <c r="D12" s="241"/>
      <c r="E12" s="241"/>
      <c r="F12" s="241"/>
      <c r="G12" s="464"/>
      <c r="H12" s="464"/>
      <c r="I12" s="464"/>
      <c r="J12" s="465"/>
    </row>
    <row r="13" spans="1:10" ht="15" customHeight="1">
      <c r="A13" s="230"/>
      <c r="B13" s="169"/>
      <c r="C13" s="170"/>
      <c r="D13" s="241"/>
      <c r="E13" s="241"/>
      <c r="F13" s="241"/>
      <c r="G13" s="460"/>
      <c r="H13" s="460"/>
      <c r="I13" s="460"/>
      <c r="J13" s="461"/>
    </row>
    <row r="14" spans="1:10" ht="15" customHeight="1">
      <c r="A14" s="230"/>
      <c r="B14" s="169"/>
      <c r="C14" s="170"/>
      <c r="D14" s="241"/>
      <c r="E14" s="241"/>
      <c r="F14" s="241"/>
      <c r="G14" s="460"/>
      <c r="H14" s="460"/>
      <c r="I14" s="460"/>
      <c r="J14" s="461"/>
    </row>
    <row r="15" spans="1:10" ht="15" customHeight="1">
      <c r="A15" s="230"/>
      <c r="B15" s="169"/>
      <c r="C15" s="170"/>
      <c r="D15" s="241"/>
      <c r="E15" s="241"/>
      <c r="F15" s="241"/>
      <c r="G15" s="460"/>
      <c r="H15" s="460"/>
      <c r="I15" s="460"/>
      <c r="J15" s="461"/>
    </row>
    <row r="16" spans="1:10" ht="15" customHeight="1">
      <c r="A16" s="230"/>
      <c r="B16" s="169"/>
      <c r="C16" s="170"/>
      <c r="D16" s="241"/>
      <c r="E16" s="241"/>
      <c r="F16" s="241"/>
      <c r="G16" s="460"/>
      <c r="H16" s="460"/>
      <c r="I16" s="460"/>
      <c r="J16" s="461"/>
    </row>
    <row r="17" spans="1:10" ht="15" customHeight="1">
      <c r="A17" s="230"/>
      <c r="B17" s="169"/>
      <c r="C17" s="170"/>
      <c r="D17" s="241"/>
      <c r="E17" s="241"/>
      <c r="F17" s="241"/>
      <c r="G17" s="460"/>
      <c r="H17" s="460"/>
      <c r="I17" s="460"/>
      <c r="J17" s="461"/>
    </row>
    <row r="18" spans="1:10" ht="15" customHeight="1" thickBot="1">
      <c r="A18" s="231" t="s">
        <v>167</v>
      </c>
      <c r="B18" s="167"/>
      <c r="C18" s="172"/>
      <c r="D18" s="243">
        <f>ROUNDUP(D9,-1)</f>
        <v>3440</v>
      </c>
      <c r="E18" s="243"/>
      <c r="F18" s="243"/>
      <c r="G18" s="462"/>
      <c r="H18" s="462"/>
      <c r="I18" s="462"/>
      <c r="J18" s="463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D18*A9</f>
        <v>309600</v>
      </c>
      <c r="J19" s="166" t="s">
        <v>62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309600</v>
      </c>
      <c r="J20" s="163" t="s">
        <v>62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7">
    <mergeCell ref="G17:J17"/>
    <mergeCell ref="G18:J18"/>
    <mergeCell ref="G9:J12"/>
    <mergeCell ref="G13:J13"/>
    <mergeCell ref="G14:J14"/>
    <mergeCell ref="G15:J15"/>
    <mergeCell ref="G16:J16"/>
  </mergeCells>
  <pageMargins left="0.75" right="0.75" top="1" bottom="1" header="0.5" footer="0.5"/>
  <pageSetup scale="68" orientation="portrait" horizontalDpi="4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DD88-AB18-429C-AA4E-5059CFBA3576}">
  <sheetPr codeName="Sheet48">
    <tabColor rgb="FF92D050"/>
    <pageSetUpPr fitToPage="1"/>
  </sheetPr>
  <dimension ref="A1:Q53"/>
  <sheetViews>
    <sheetView view="pageBreakPreview" zoomScale="70" zoomScaleNormal="100" zoomScaleSheetLayoutView="70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3.2851562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 t="s">
        <v>227</v>
      </c>
      <c r="B7" s="52"/>
      <c r="C7" s="350" t="s">
        <v>228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229</v>
      </c>
      <c r="C8" s="164" t="s">
        <v>230</v>
      </c>
      <c r="D8" s="174" t="s">
        <v>62</v>
      </c>
      <c r="E8" s="174"/>
      <c r="F8" s="174" t="s">
        <v>12</v>
      </c>
      <c r="G8" s="174" t="s">
        <v>8</v>
      </c>
      <c r="H8" s="173"/>
      <c r="I8" s="173"/>
      <c r="J8" s="176"/>
    </row>
    <row r="9" spans="1:10" ht="15" customHeight="1">
      <c r="A9" s="353">
        <v>100</v>
      </c>
      <c r="B9" s="157">
        <v>18017</v>
      </c>
      <c r="C9" s="165">
        <f>18/12</f>
        <v>1.5</v>
      </c>
      <c r="D9" s="359">
        <f>(B9*C9)/27</f>
        <v>1000.9444444444445</v>
      </c>
      <c r="E9" s="242"/>
      <c r="F9" s="242" t="s">
        <v>62</v>
      </c>
      <c r="G9" s="464" t="s">
        <v>231</v>
      </c>
      <c r="H9" s="464"/>
      <c r="I9" s="464"/>
      <c r="J9" s="464"/>
    </row>
    <row r="10" spans="1:10" ht="15" customHeight="1">
      <c r="A10" s="230"/>
      <c r="B10" s="157"/>
      <c r="C10" s="171"/>
      <c r="D10" s="241"/>
      <c r="E10" s="241"/>
      <c r="F10" s="241"/>
      <c r="G10" s="464"/>
      <c r="H10" s="464"/>
      <c r="I10" s="464"/>
      <c r="J10" s="464"/>
    </row>
    <row r="11" spans="1:10" ht="15" customHeight="1">
      <c r="A11" s="230"/>
      <c r="B11" s="157"/>
      <c r="C11" s="171"/>
      <c r="D11" s="241"/>
      <c r="E11" s="241"/>
      <c r="F11" s="241"/>
      <c r="G11" s="464"/>
      <c r="H11" s="464"/>
      <c r="I11" s="464"/>
      <c r="J11" s="464"/>
    </row>
    <row r="12" spans="1:10" ht="15" customHeight="1">
      <c r="A12" s="230"/>
      <c r="B12" s="158"/>
      <c r="C12" s="171"/>
      <c r="D12" s="241"/>
      <c r="E12" s="241"/>
      <c r="F12" s="241"/>
      <c r="G12" s="464"/>
      <c r="H12" s="464"/>
      <c r="I12" s="464"/>
      <c r="J12" s="464"/>
    </row>
    <row r="13" spans="1:10" ht="15" customHeight="1">
      <c r="A13" s="230"/>
      <c r="B13" s="169"/>
      <c r="C13" s="170"/>
      <c r="D13" s="241"/>
      <c r="E13" s="241"/>
      <c r="F13" s="241"/>
      <c r="G13" s="460"/>
      <c r="H13" s="460"/>
      <c r="I13" s="460"/>
      <c r="J13" s="460"/>
    </row>
    <row r="14" spans="1:10" ht="15" customHeight="1">
      <c r="A14" s="230"/>
      <c r="B14" s="169"/>
      <c r="C14" s="170"/>
      <c r="D14" s="241"/>
      <c r="E14" s="241"/>
      <c r="F14" s="241"/>
      <c r="G14" s="460"/>
      <c r="H14" s="460"/>
      <c r="I14" s="460"/>
      <c r="J14" s="460"/>
    </row>
    <row r="15" spans="1:10" ht="15" customHeight="1">
      <c r="A15" s="230"/>
      <c r="B15" s="169"/>
      <c r="C15" s="170"/>
      <c r="D15" s="241"/>
      <c r="E15" s="241"/>
      <c r="F15" s="241"/>
      <c r="G15" s="460"/>
      <c r="H15" s="460"/>
      <c r="I15" s="460"/>
      <c r="J15" s="460"/>
    </row>
    <row r="16" spans="1:10" ht="15" customHeight="1">
      <c r="A16" s="230"/>
      <c r="B16" s="169"/>
      <c r="C16" s="170"/>
      <c r="D16" s="241"/>
      <c r="E16" s="241"/>
      <c r="F16" s="241"/>
      <c r="G16" s="460"/>
      <c r="H16" s="460"/>
      <c r="I16" s="460"/>
      <c r="J16" s="460"/>
    </row>
    <row r="17" spans="1:10" ht="15" customHeight="1">
      <c r="A17" s="230"/>
      <c r="B17" s="169"/>
      <c r="C17" s="170"/>
      <c r="D17" s="241"/>
      <c r="E17" s="241"/>
      <c r="F17" s="241"/>
      <c r="G17" s="460"/>
      <c r="H17" s="460"/>
      <c r="I17" s="460"/>
      <c r="J17" s="460"/>
    </row>
    <row r="18" spans="1:10" ht="15" customHeight="1" thickBot="1">
      <c r="A18" s="231" t="s">
        <v>204</v>
      </c>
      <c r="B18" s="167"/>
      <c r="C18" s="172"/>
      <c r="D18" s="254">
        <f>ROUNDUP(D9,-1)</f>
        <v>1010</v>
      </c>
      <c r="E18" s="243"/>
      <c r="F18" s="243"/>
      <c r="G18" s="462"/>
      <c r="H18" s="462"/>
      <c r="I18" s="462"/>
      <c r="J18" s="462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A9*D18</f>
        <v>101000</v>
      </c>
      <c r="J19" s="166" t="s">
        <v>62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101000</v>
      </c>
      <c r="J20" s="163" t="s">
        <v>62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7">
    <mergeCell ref="G17:J17"/>
    <mergeCell ref="G18:J18"/>
    <mergeCell ref="G9:J12"/>
    <mergeCell ref="G13:J13"/>
    <mergeCell ref="G14:J14"/>
    <mergeCell ref="G15:J15"/>
    <mergeCell ref="G16:J16"/>
  </mergeCells>
  <pageMargins left="0.75" right="0.75" top="1" bottom="1" header="0.5" footer="0.5"/>
  <pageSetup scale="67" orientation="portrait" horizontalDpi="4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50F0-31C2-496C-9AD3-DBA8CD7D72D6}">
  <sheetPr codeName="Sheet49">
    <tabColor rgb="FF92D050"/>
    <pageSetUpPr fitToPage="1"/>
  </sheetPr>
  <dimension ref="A1:Q133"/>
  <sheetViews>
    <sheetView view="pageBreakPreview" zoomScale="85" zoomScaleNormal="100" zoomScaleSheetLayoutView="8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2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  <c r="L1" s="349"/>
    </row>
    <row r="2" spans="1:12" ht="15" customHeight="1" thickTop="1">
      <c r="A2" s="29"/>
      <c r="J2" s="30"/>
    </row>
    <row r="3" spans="1:12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2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2" ht="15" customHeight="1">
      <c r="A5" s="29"/>
      <c r="G5" s="1"/>
      <c r="I5" s="1"/>
      <c r="J5" s="30"/>
    </row>
    <row r="6" spans="1:12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2" ht="24.95" customHeight="1" thickBot="1">
      <c r="A7" s="344" t="s">
        <v>232</v>
      </c>
      <c r="B7" s="52"/>
      <c r="C7" s="350" t="s">
        <v>233</v>
      </c>
      <c r="D7" s="12"/>
      <c r="E7" s="12"/>
      <c r="F7" s="12"/>
      <c r="G7" s="13"/>
      <c r="H7" s="12"/>
      <c r="I7" s="12"/>
      <c r="J7" s="37"/>
    </row>
    <row r="8" spans="1:12" ht="15" customHeight="1" thickTop="1">
      <c r="A8" s="222" t="s">
        <v>163</v>
      </c>
      <c r="B8" s="164" t="s">
        <v>229</v>
      </c>
      <c r="C8" s="164" t="s">
        <v>230</v>
      </c>
      <c r="D8" s="174" t="s">
        <v>62</v>
      </c>
      <c r="E8" s="174"/>
      <c r="F8" s="174" t="s">
        <v>12</v>
      </c>
      <c r="G8" s="174" t="s">
        <v>8</v>
      </c>
      <c r="H8" s="173"/>
      <c r="I8" s="173"/>
      <c r="J8" s="176"/>
    </row>
    <row r="9" spans="1:12" ht="15" customHeight="1">
      <c r="A9" s="353">
        <v>100</v>
      </c>
      <c r="B9" s="157">
        <v>18017</v>
      </c>
      <c r="C9" s="246">
        <f>11/12</f>
        <v>0.91666666666666663</v>
      </c>
      <c r="D9" s="245">
        <f>(B9*C9)/27</f>
        <v>611.68827160493822</v>
      </c>
      <c r="E9" s="242"/>
      <c r="F9" s="242" t="s">
        <v>62</v>
      </c>
      <c r="G9" s="464" t="s">
        <v>234</v>
      </c>
      <c r="H9" s="464"/>
      <c r="I9" s="464"/>
      <c r="J9" s="464"/>
    </row>
    <row r="10" spans="1:12" ht="15" customHeight="1">
      <c r="A10" s="230"/>
      <c r="B10" s="157"/>
      <c r="C10" s="171"/>
      <c r="D10" s="241"/>
      <c r="E10" s="241"/>
      <c r="F10" s="241"/>
      <c r="G10" s="464"/>
      <c r="H10" s="464"/>
      <c r="I10" s="464"/>
      <c r="J10" s="464"/>
    </row>
    <row r="11" spans="1:12" ht="15" customHeight="1">
      <c r="A11" s="230"/>
      <c r="B11" s="157"/>
      <c r="C11" s="171"/>
      <c r="D11" s="241"/>
      <c r="E11" s="241"/>
      <c r="F11" s="241"/>
      <c r="G11" s="464"/>
      <c r="H11" s="464"/>
      <c r="I11" s="464"/>
      <c r="J11" s="464"/>
    </row>
    <row r="12" spans="1:12" ht="15" customHeight="1">
      <c r="A12" s="230"/>
      <c r="B12" s="158"/>
      <c r="C12" s="171"/>
      <c r="D12" s="241"/>
      <c r="E12" s="241"/>
      <c r="F12" s="241"/>
      <c r="G12" s="464"/>
      <c r="H12" s="464"/>
      <c r="I12" s="464"/>
      <c r="J12" s="464"/>
    </row>
    <row r="13" spans="1:12" ht="15" customHeight="1">
      <c r="A13" s="230"/>
      <c r="B13" s="169"/>
      <c r="C13" s="170"/>
      <c r="D13" s="241"/>
      <c r="E13" s="241"/>
      <c r="F13" s="241"/>
      <c r="G13" s="460"/>
      <c r="H13" s="460"/>
      <c r="I13" s="460"/>
      <c r="J13" s="460"/>
    </row>
    <row r="14" spans="1:12" ht="15" customHeight="1">
      <c r="A14" s="230"/>
      <c r="B14" s="169"/>
      <c r="C14" s="170"/>
      <c r="D14" s="241"/>
      <c r="E14" s="241"/>
      <c r="F14" s="241"/>
      <c r="G14" s="460"/>
      <c r="H14" s="460"/>
      <c r="I14" s="460"/>
      <c r="J14" s="460"/>
    </row>
    <row r="15" spans="1:12" ht="15" customHeight="1">
      <c r="A15" s="230"/>
      <c r="B15" s="169"/>
      <c r="C15" s="170"/>
      <c r="D15" s="241"/>
      <c r="E15" s="241"/>
      <c r="F15" s="241"/>
      <c r="G15" s="460"/>
      <c r="H15" s="460"/>
      <c r="I15" s="460"/>
      <c r="J15" s="460"/>
    </row>
    <row r="16" spans="1:12" ht="15" customHeight="1">
      <c r="A16" s="230"/>
      <c r="B16" s="169"/>
      <c r="C16" s="170"/>
      <c r="D16" s="241"/>
      <c r="E16" s="241"/>
      <c r="F16" s="241"/>
      <c r="G16" s="460"/>
      <c r="H16" s="460"/>
      <c r="I16" s="460"/>
      <c r="J16" s="460"/>
    </row>
    <row r="17" spans="1:10" ht="15" customHeight="1">
      <c r="A17" s="230"/>
      <c r="B17" s="169"/>
      <c r="C17" s="170"/>
      <c r="D17" s="241"/>
      <c r="E17" s="241"/>
      <c r="F17" s="241"/>
      <c r="G17" s="460"/>
      <c r="H17" s="460"/>
      <c r="I17" s="460"/>
      <c r="J17" s="460"/>
    </row>
    <row r="18" spans="1:10" ht="15" customHeight="1" thickBot="1">
      <c r="A18" s="231" t="s">
        <v>204</v>
      </c>
      <c r="B18" s="167"/>
      <c r="C18" s="172"/>
      <c r="D18" s="252">
        <f>ROUNDUP(D9,-1)</f>
        <v>620</v>
      </c>
      <c r="E18" s="243"/>
      <c r="F18" s="243"/>
      <c r="G18" s="462"/>
      <c r="H18" s="462"/>
      <c r="I18" s="462"/>
      <c r="J18" s="462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A9*D18</f>
        <v>62000</v>
      </c>
      <c r="J19" s="166" t="s">
        <v>62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62000</v>
      </c>
      <c r="J20" s="163" t="s">
        <v>62</v>
      </c>
    </row>
    <row r="21" spans="1:10" ht="15" customHeight="1"/>
    <row r="25" spans="1:10">
      <c r="E25" s="232"/>
      <c r="G25" s="232"/>
    </row>
    <row r="46" spans="12:12">
      <c r="L46" s="349"/>
    </row>
    <row r="47" spans="12:12">
      <c r="L47" s="349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  <row r="133" spans="12:12">
      <c r="L133" s="349" t="s">
        <v>235</v>
      </c>
    </row>
  </sheetData>
  <mergeCells count="7">
    <mergeCell ref="G17:J17"/>
    <mergeCell ref="G18:J18"/>
    <mergeCell ref="G9:J12"/>
    <mergeCell ref="G13:J13"/>
    <mergeCell ref="G14:J14"/>
    <mergeCell ref="G15:J15"/>
    <mergeCell ref="G16:J16"/>
  </mergeCells>
  <pageMargins left="0.75" right="0.75" top="1" bottom="1" header="0.5" footer="0.5"/>
  <pageSetup scale="68" orientation="portrait" horizontalDpi="4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8275-5692-4AE2-B098-FEEE9B458482}">
  <sheetPr codeName="Sheet50">
    <tabColor rgb="FF92D050"/>
    <pageSetUpPr fitToPage="1"/>
  </sheetPr>
  <dimension ref="A1:S66"/>
  <sheetViews>
    <sheetView view="pageBreakPreview" zoomScale="85" zoomScaleNormal="100" zoomScaleSheetLayoutView="85" workbookViewId="0">
      <selection activeCell="K19" sqref="K19:K20"/>
    </sheetView>
  </sheetViews>
  <sheetFormatPr defaultRowHeight="13.15"/>
  <cols>
    <col min="1" max="1" width="30.7109375" customWidth="1"/>
    <col min="2" max="4" width="15.7109375" customWidth="1"/>
    <col min="5" max="10" width="10.7109375" customWidth="1"/>
    <col min="11" max="11" width="12.85546875" bestFit="1" customWidth="1"/>
    <col min="12" max="12" width="31.140625" customWidth="1"/>
  </cols>
  <sheetData>
    <row r="1" spans="1:14" ht="24.95" customHeight="1" thickBot="1">
      <c r="A1" s="225" t="s">
        <v>0</v>
      </c>
      <c r="B1" s="226"/>
      <c r="C1" s="226"/>
      <c r="D1" s="226"/>
      <c r="E1" s="227"/>
      <c r="F1" s="227"/>
      <c r="G1" s="227"/>
      <c r="H1" s="227"/>
      <c r="I1" s="226" t="s">
        <v>1</v>
      </c>
      <c r="J1" s="227"/>
      <c r="K1" s="227"/>
      <c r="L1" s="228"/>
      <c r="N1" s="349"/>
    </row>
    <row r="2" spans="1:14" ht="15" customHeight="1" thickTop="1">
      <c r="A2" s="29"/>
      <c r="L2" s="30"/>
    </row>
    <row r="3" spans="1:14" ht="15" customHeight="1">
      <c r="A3" s="31" t="s">
        <v>2</v>
      </c>
      <c r="B3" t="str">
        <f>'Line Items'!B1</f>
        <v>SDYS - Green Stormwater Demonstration</v>
      </c>
      <c r="I3" s="1" t="s">
        <v>3</v>
      </c>
      <c r="J3" s="342" t="e">
        <f>'Line Items'!#REF!</f>
        <v>#REF!</v>
      </c>
      <c r="K3" s="1" t="s">
        <v>4</v>
      </c>
      <c r="L3" s="352" t="e">
        <f>'Line Items'!#REF!</f>
        <v>#REF!</v>
      </c>
    </row>
    <row r="4" spans="1:14" ht="15" customHeight="1">
      <c r="A4" s="31" t="s">
        <v>5</v>
      </c>
      <c r="B4" s="154">
        <f>'Line Items'!B2</f>
        <v>0</v>
      </c>
      <c r="C4" s="154"/>
      <c r="D4" s="154"/>
      <c r="I4" s="1" t="s">
        <v>6</v>
      </c>
      <c r="J4" s="343" t="e">
        <f>'Line Items'!#REF!</f>
        <v>#REF!</v>
      </c>
      <c r="K4" s="1" t="s">
        <v>4</v>
      </c>
      <c r="L4" s="32" t="e">
        <f>'Line Items'!#REF!</f>
        <v>#REF!</v>
      </c>
    </row>
    <row r="5" spans="1:14" ht="15" customHeight="1">
      <c r="A5" s="29"/>
      <c r="I5" s="1"/>
      <c r="K5" s="1"/>
      <c r="L5" s="30"/>
    </row>
    <row r="6" spans="1:14" ht="24.95" customHeight="1">
      <c r="A6" s="34" t="s">
        <v>161</v>
      </c>
      <c r="B6" s="18"/>
      <c r="C6" s="18"/>
      <c r="D6" s="18"/>
      <c r="E6" s="19" t="s">
        <v>8</v>
      </c>
      <c r="F6" s="20"/>
      <c r="G6" s="20"/>
      <c r="H6" s="20"/>
      <c r="I6" s="21"/>
      <c r="J6" s="20"/>
      <c r="K6" s="20"/>
      <c r="L6" s="35"/>
    </row>
    <row r="7" spans="1:14" ht="24.95" customHeight="1" thickBot="1">
      <c r="A7" s="344"/>
      <c r="B7" s="52"/>
      <c r="C7" s="10"/>
      <c r="D7" s="10"/>
      <c r="E7" s="350" t="s">
        <v>236</v>
      </c>
      <c r="F7" s="12"/>
      <c r="G7" s="12"/>
      <c r="H7" s="12"/>
      <c r="I7" s="13"/>
      <c r="J7" s="12"/>
      <c r="K7" s="12"/>
      <c r="L7" s="37"/>
    </row>
    <row r="8" spans="1:14" ht="15" customHeight="1" thickTop="1">
      <c r="A8" s="222" t="s">
        <v>163</v>
      </c>
      <c r="B8" s="164" t="s">
        <v>169</v>
      </c>
      <c r="C8" s="164" t="s">
        <v>237</v>
      </c>
      <c r="D8" s="164" t="s">
        <v>180</v>
      </c>
      <c r="E8" s="164" t="s">
        <v>12</v>
      </c>
      <c r="F8" s="174" t="s">
        <v>8</v>
      </c>
      <c r="G8" s="175"/>
      <c r="H8" s="175"/>
      <c r="I8" s="229"/>
      <c r="J8" s="173"/>
      <c r="K8" s="173"/>
      <c r="L8" s="176"/>
    </row>
    <row r="9" spans="1:14" ht="15" customHeight="1">
      <c r="A9" s="353">
        <v>1</v>
      </c>
      <c r="B9" s="157">
        <v>3237</v>
      </c>
      <c r="C9" s="165">
        <v>2.75</v>
      </c>
      <c r="D9" s="165">
        <f>C9*B9</f>
        <v>8901.75</v>
      </c>
      <c r="E9" s="165" t="s">
        <v>73</v>
      </c>
      <c r="F9" s="466" t="s">
        <v>238</v>
      </c>
      <c r="G9" s="467"/>
      <c r="H9" s="467"/>
      <c r="I9" s="467"/>
      <c r="J9" s="467"/>
      <c r="K9" s="467"/>
      <c r="L9" s="468"/>
    </row>
    <row r="10" spans="1:14" ht="15" customHeight="1">
      <c r="A10" s="230"/>
      <c r="B10" s="157"/>
      <c r="C10" s="157"/>
      <c r="D10" s="157"/>
      <c r="E10" s="171"/>
      <c r="F10" s="469"/>
      <c r="G10" s="470"/>
      <c r="H10" s="470"/>
      <c r="I10" s="470"/>
      <c r="J10" s="470"/>
      <c r="K10" s="470"/>
      <c r="L10" s="471"/>
    </row>
    <row r="11" spans="1:14" ht="15" customHeight="1">
      <c r="A11" s="230"/>
      <c r="B11" s="157"/>
      <c r="C11" s="157"/>
      <c r="D11" s="157">
        <v>6458</v>
      </c>
      <c r="E11" s="171" t="s">
        <v>73</v>
      </c>
      <c r="F11" s="472" t="s">
        <v>239</v>
      </c>
      <c r="G11" s="473"/>
      <c r="H11" s="473"/>
      <c r="I11" s="473"/>
      <c r="J11" s="473"/>
      <c r="K11" s="473"/>
      <c r="L11" s="474"/>
    </row>
    <row r="12" spans="1:14" ht="15" customHeight="1">
      <c r="A12" s="230"/>
      <c r="B12" s="158"/>
      <c r="C12" s="158"/>
      <c r="D12" s="158"/>
      <c r="E12" s="171"/>
      <c r="F12" s="418"/>
      <c r="G12" s="419"/>
      <c r="H12" s="419"/>
      <c r="I12" s="419"/>
      <c r="J12" s="419"/>
      <c r="K12" s="419"/>
      <c r="L12" s="420"/>
    </row>
    <row r="13" spans="1:14" ht="15" customHeight="1">
      <c r="A13" s="230"/>
      <c r="B13" s="169"/>
      <c r="C13" s="169"/>
      <c r="D13" s="169"/>
      <c r="E13" s="170"/>
      <c r="F13" s="418"/>
      <c r="G13" s="419"/>
      <c r="H13" s="419"/>
      <c r="I13" s="419"/>
      <c r="J13" s="419"/>
      <c r="K13" s="419"/>
      <c r="L13" s="420"/>
    </row>
    <row r="14" spans="1:14" ht="15" customHeight="1">
      <c r="A14" s="230"/>
      <c r="B14" s="169"/>
      <c r="C14" s="169"/>
      <c r="D14" s="169"/>
      <c r="E14" s="170"/>
      <c r="F14" s="418"/>
      <c r="G14" s="419"/>
      <c r="H14" s="419"/>
      <c r="I14" s="419"/>
      <c r="J14" s="419"/>
      <c r="K14" s="419"/>
      <c r="L14" s="420"/>
    </row>
    <row r="15" spans="1:14" ht="15" customHeight="1">
      <c r="A15" s="230"/>
      <c r="B15" s="169"/>
      <c r="C15" s="169"/>
      <c r="D15" s="169"/>
      <c r="E15" s="170"/>
      <c r="F15" s="418"/>
      <c r="G15" s="419"/>
      <c r="H15" s="419"/>
      <c r="I15" s="419"/>
      <c r="J15" s="419"/>
      <c r="K15" s="419"/>
      <c r="L15" s="420"/>
    </row>
    <row r="16" spans="1:14" ht="15" customHeight="1">
      <c r="A16" s="230"/>
      <c r="B16" s="169"/>
      <c r="C16" s="169"/>
      <c r="D16" s="169"/>
      <c r="E16" s="170"/>
      <c r="F16" s="418"/>
      <c r="G16" s="419"/>
      <c r="H16" s="419"/>
      <c r="I16" s="419"/>
      <c r="J16" s="419"/>
      <c r="K16" s="419"/>
      <c r="L16" s="420"/>
    </row>
    <row r="17" spans="1:15" ht="15" customHeight="1">
      <c r="A17" s="230"/>
      <c r="B17" s="169"/>
      <c r="C17" s="169"/>
      <c r="D17" s="171">
        <f>SUM(D8:D16)</f>
        <v>15359.75</v>
      </c>
      <c r="E17" s="170"/>
      <c r="F17" s="418"/>
      <c r="G17" s="419"/>
      <c r="H17" s="419"/>
      <c r="I17" s="419"/>
      <c r="J17" s="419"/>
      <c r="K17" s="419"/>
      <c r="L17" s="420"/>
    </row>
    <row r="18" spans="1:15" ht="15" customHeight="1" thickBot="1">
      <c r="A18" s="231" t="s">
        <v>167</v>
      </c>
      <c r="B18" s="172"/>
      <c r="C18" s="172"/>
      <c r="D18" s="255">
        <f>ROUNDUP(D17,-1)</f>
        <v>15360</v>
      </c>
      <c r="E18" s="172"/>
      <c r="F18" s="233"/>
      <c r="G18" s="177"/>
      <c r="H18" s="177"/>
      <c r="I18" s="178"/>
      <c r="J18" s="178"/>
      <c r="K18" s="178"/>
      <c r="L18" s="179"/>
    </row>
    <row r="19" spans="1:15" ht="15" customHeight="1" thickTop="1">
      <c r="A19" s="159"/>
      <c r="B19" s="155"/>
      <c r="C19" s="155"/>
      <c r="D19" s="155"/>
      <c r="E19" s="155"/>
      <c r="F19" s="155"/>
      <c r="G19" s="155"/>
      <c r="H19" s="156"/>
      <c r="I19" s="156" t="s">
        <v>16</v>
      </c>
      <c r="J19" s="156"/>
      <c r="K19" s="260">
        <f>D18*A9</f>
        <v>15360</v>
      </c>
      <c r="L19" s="166" t="s">
        <v>73</v>
      </c>
    </row>
    <row r="20" spans="1:15" ht="15" customHeight="1" thickBot="1">
      <c r="A20" s="160"/>
      <c r="B20" s="161"/>
      <c r="C20" s="161"/>
      <c r="D20" s="161"/>
      <c r="E20" s="161"/>
      <c r="F20" s="161"/>
      <c r="G20" s="161"/>
      <c r="H20" s="162"/>
      <c r="I20" s="162"/>
      <c r="J20" s="168" t="s">
        <v>17</v>
      </c>
      <c r="K20" s="261">
        <f>K19</f>
        <v>15360</v>
      </c>
      <c r="L20" s="163" t="s">
        <v>73</v>
      </c>
    </row>
    <row r="21" spans="1:15" ht="15" customHeight="1"/>
    <row r="22" spans="1:15">
      <c r="N22" s="349"/>
      <c r="O22" s="349"/>
    </row>
    <row r="23" spans="1:15">
      <c r="N23" s="349"/>
      <c r="O23" s="238"/>
    </row>
    <row r="24" spans="1:15">
      <c r="N24" s="349"/>
    </row>
    <row r="25" spans="1:15">
      <c r="G25" s="232"/>
      <c r="I25" s="232"/>
      <c r="N25" s="349"/>
      <c r="O25" s="238"/>
    </row>
    <row r="27" spans="1:15">
      <c r="N27" s="349"/>
    </row>
    <row r="46" spans="14:15">
      <c r="N46" s="349"/>
    </row>
    <row r="47" spans="14:15">
      <c r="N47" s="349"/>
      <c r="O47" s="349"/>
    </row>
    <row r="48" spans="14:15">
      <c r="N48" s="349"/>
      <c r="O48" s="238"/>
    </row>
    <row r="50" spans="14:19">
      <c r="N50" s="349"/>
    </row>
    <row r="51" spans="14:19">
      <c r="N51" s="349"/>
      <c r="O51" s="349"/>
      <c r="Q51" s="349"/>
      <c r="S51" s="349"/>
    </row>
    <row r="52" spans="14:19">
      <c r="N52" s="349"/>
    </row>
    <row r="53" spans="14:19">
      <c r="N53" s="349"/>
    </row>
    <row r="59" spans="14:19">
      <c r="N59" s="349"/>
    </row>
    <row r="61" spans="14:19">
      <c r="N61" s="349"/>
      <c r="O61" s="349"/>
    </row>
    <row r="62" spans="14:19">
      <c r="N62" s="349"/>
      <c r="O62" s="238"/>
    </row>
    <row r="63" spans="14:19">
      <c r="N63" s="349"/>
    </row>
    <row r="64" spans="14:19">
      <c r="N64" s="349"/>
      <c r="O64" s="238"/>
    </row>
    <row r="66" spans="14:14">
      <c r="N66" s="349"/>
    </row>
  </sheetData>
  <mergeCells count="8">
    <mergeCell ref="F9:L10"/>
    <mergeCell ref="F16:L16"/>
    <mergeCell ref="F17:L17"/>
    <mergeCell ref="F11:L11"/>
    <mergeCell ref="F12:L12"/>
    <mergeCell ref="F13:L13"/>
    <mergeCell ref="F14:L14"/>
    <mergeCell ref="F15:L15"/>
  </mergeCells>
  <pageMargins left="0.75" right="0.75" top="1" bottom="1" header="0.5" footer="0.5"/>
  <pageSetup scale="49" orientation="portrait" horizont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3533-2AB8-4A7E-B017-CC7AFD968A5C}">
  <dimension ref="A1:D20"/>
  <sheetViews>
    <sheetView tabSelected="1" view="pageLayout" zoomScaleNormal="100" workbookViewId="0">
      <selection sqref="A1:D3"/>
    </sheetView>
  </sheetViews>
  <sheetFormatPr defaultColWidth="8.7109375" defaultRowHeight="13.15"/>
  <cols>
    <col min="1" max="1" width="21.85546875" style="309" customWidth="1"/>
    <col min="2" max="2" width="22.42578125" style="309" customWidth="1"/>
    <col min="3" max="3" width="15" style="309" customWidth="1"/>
    <col min="4" max="4" width="17" style="309" customWidth="1"/>
    <col min="5" max="5" width="35" style="309" customWidth="1"/>
    <col min="6" max="16384" width="8.7109375" style="309"/>
  </cols>
  <sheetData>
    <row r="1" spans="1:4">
      <c r="A1" s="392" t="s">
        <v>19</v>
      </c>
      <c r="B1" s="393"/>
      <c r="C1" s="393"/>
      <c r="D1" s="393"/>
    </row>
    <row r="2" spans="1:4">
      <c r="A2" s="393"/>
      <c r="B2" s="393"/>
      <c r="C2" s="393"/>
      <c r="D2" s="393"/>
    </row>
    <row r="3" spans="1:4">
      <c r="A3" s="393"/>
      <c r="B3" s="393"/>
      <c r="C3" s="393"/>
      <c r="D3" s="393"/>
    </row>
    <row r="4" spans="1:4">
      <c r="A4" s="387"/>
      <c r="B4" s="387"/>
      <c r="C4" s="387"/>
      <c r="D4" s="387"/>
    </row>
    <row r="5" spans="1:4" ht="23.65" customHeight="1">
      <c r="A5" s="312" t="s">
        <v>20</v>
      </c>
      <c r="B5" s="389" t="s">
        <v>21</v>
      </c>
      <c r="C5" s="389"/>
    </row>
    <row r="6" spans="1:4" ht="27" customHeight="1">
      <c r="A6" s="386" t="s">
        <v>22</v>
      </c>
      <c r="B6" s="388"/>
      <c r="C6" s="388"/>
    </row>
    <row r="7" spans="1:4" ht="27" customHeight="1">
      <c r="A7" s="312" t="s">
        <v>23</v>
      </c>
      <c r="B7" s="390">
        <f>D20</f>
        <v>0</v>
      </c>
      <c r="C7" s="391"/>
    </row>
    <row r="8" spans="1:4" ht="19.350000000000001" customHeight="1">
      <c r="A8" s="313"/>
      <c r="B8" s="310"/>
      <c r="C8" s="310"/>
    </row>
    <row r="9" spans="1:4" s="310" customFormat="1" ht="39.6">
      <c r="A9" s="316" t="s">
        <v>24</v>
      </c>
      <c r="B9" s="316" t="s">
        <v>25</v>
      </c>
      <c r="C9" s="317" t="s">
        <v>26</v>
      </c>
      <c r="D9" s="316" t="s">
        <v>27</v>
      </c>
    </row>
    <row r="10" spans="1:4">
      <c r="A10" s="311">
        <v>0</v>
      </c>
      <c r="B10" s="314" t="s">
        <v>28</v>
      </c>
      <c r="C10" s="315">
        <f>'Line Items'!H11</f>
        <v>0</v>
      </c>
      <c r="D10" s="315">
        <f>C10</f>
        <v>0</v>
      </c>
    </row>
    <row r="11" spans="1:4">
      <c r="A11" s="311">
        <v>1</v>
      </c>
      <c r="B11" s="314" t="s">
        <v>29</v>
      </c>
      <c r="C11" s="315">
        <f>'Line Items'!H37</f>
        <v>0</v>
      </c>
      <c r="D11" s="315">
        <f>C11+$D$10</f>
        <v>0</v>
      </c>
    </row>
    <row r="12" spans="1:4">
      <c r="A12" s="311">
        <v>2</v>
      </c>
      <c r="B12" s="314" t="s">
        <v>30</v>
      </c>
      <c r="C12" s="315">
        <f>'Line Items'!H53</f>
        <v>0</v>
      </c>
      <c r="D12" s="315">
        <f>C12+$D$10</f>
        <v>0</v>
      </c>
    </row>
    <row r="13" spans="1:4">
      <c r="A13" s="311">
        <v>3</v>
      </c>
      <c r="B13" s="314" t="s">
        <v>31</v>
      </c>
      <c r="C13" s="315">
        <f>'Line Items'!H69</f>
        <v>0</v>
      </c>
      <c r="D13" s="315">
        <f t="shared" ref="D13:D19" si="0">C13+$D$10</f>
        <v>0</v>
      </c>
    </row>
    <row r="14" spans="1:4">
      <c r="A14" s="311">
        <v>4</v>
      </c>
      <c r="B14" s="314" t="s">
        <v>32</v>
      </c>
      <c r="C14" s="315">
        <f>'Line Items'!H81</f>
        <v>0</v>
      </c>
      <c r="D14" s="315">
        <f t="shared" si="0"/>
        <v>0</v>
      </c>
    </row>
    <row r="15" spans="1:4" ht="26.45">
      <c r="A15" s="311">
        <v>5</v>
      </c>
      <c r="B15" s="314" t="s">
        <v>33</v>
      </c>
      <c r="C15" s="315">
        <f>'Line Items'!H84</f>
        <v>0</v>
      </c>
      <c r="D15" s="315">
        <f t="shared" si="0"/>
        <v>0</v>
      </c>
    </row>
    <row r="16" spans="1:4">
      <c r="A16" s="311">
        <v>6</v>
      </c>
      <c r="B16" s="314" t="s">
        <v>34</v>
      </c>
      <c r="C16" s="315">
        <f>'Line Items'!H86</f>
        <v>0</v>
      </c>
      <c r="D16" s="315">
        <f t="shared" si="0"/>
        <v>0</v>
      </c>
    </row>
    <row r="17" spans="1:4">
      <c r="A17" s="311">
        <v>7</v>
      </c>
      <c r="B17" s="314" t="s">
        <v>35</v>
      </c>
      <c r="C17" s="315">
        <f>'Line Items'!H88</f>
        <v>0</v>
      </c>
      <c r="D17" s="315">
        <f t="shared" si="0"/>
        <v>0</v>
      </c>
    </row>
    <row r="18" spans="1:4">
      <c r="A18" s="311">
        <v>8</v>
      </c>
      <c r="B18" s="314" t="s">
        <v>36</v>
      </c>
      <c r="C18" s="315">
        <f>'Line Items'!H92</f>
        <v>0</v>
      </c>
      <c r="D18" s="315">
        <f t="shared" si="0"/>
        <v>0</v>
      </c>
    </row>
    <row r="19" spans="1:4">
      <c r="A19" s="311">
        <v>9</v>
      </c>
      <c r="B19" s="314" t="s">
        <v>37</v>
      </c>
      <c r="C19" s="315">
        <f>'Line Items'!H96</f>
        <v>0</v>
      </c>
      <c r="D19" s="315">
        <f t="shared" si="0"/>
        <v>0</v>
      </c>
    </row>
    <row r="20" spans="1:4">
      <c r="A20" s="318"/>
      <c r="B20" s="320" t="s">
        <v>38</v>
      </c>
      <c r="C20" s="384">
        <f>SUM(C10:C19)</f>
        <v>0</v>
      </c>
      <c r="D20" s="384">
        <f>SUM(C20:C20)</f>
        <v>0</v>
      </c>
    </row>
  </sheetData>
  <mergeCells count="4">
    <mergeCell ref="B6:C6"/>
    <mergeCell ref="B5:C5"/>
    <mergeCell ref="B7:C7"/>
    <mergeCell ref="A1:D3"/>
  </mergeCells>
  <phoneticPr fontId="26" type="noConversion"/>
  <pageMargins left="0.7" right="0.7" top="0.75" bottom="0.75" header="0.3" footer="0.3"/>
  <pageSetup orientation="portrait" r:id="rId1"/>
  <headerFooter>
    <oddHeader>&amp;R&amp;"Arial,Italic"&amp;9Attachment 4: Project Cost Form
Submission Material 2</oddHeader>
    <oddFooter>&amp;R1 of 2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DC35-D0BC-421D-A736-EE7CB3F97884}">
  <sheetPr codeName="Sheet51">
    <tabColor rgb="FF92D050"/>
    <pageSetUpPr fitToPage="1"/>
  </sheetPr>
  <dimension ref="A1:Q53"/>
  <sheetViews>
    <sheetView view="pageBreakPreview" zoomScale="85" zoomScaleNormal="100" zoomScaleSheetLayoutView="85" workbookViewId="0">
      <selection activeCell="I19" sqref="I19:I20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2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  <c r="L1" s="349"/>
    </row>
    <row r="2" spans="1:12" ht="15" customHeight="1" thickTop="1">
      <c r="A2" s="29"/>
      <c r="J2" s="30"/>
    </row>
    <row r="3" spans="1:12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2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  <c r="L4" s="349"/>
    </row>
    <row r="5" spans="1:12" ht="15" customHeight="1">
      <c r="A5" s="29"/>
      <c r="G5" s="1"/>
      <c r="I5" s="1"/>
      <c r="J5" s="30"/>
      <c r="L5" s="349"/>
    </row>
    <row r="6" spans="1:12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2" ht="24.95" customHeight="1" thickBot="1">
      <c r="A7" s="344" t="s">
        <v>232</v>
      </c>
      <c r="B7" s="52"/>
      <c r="C7" s="350" t="s">
        <v>240</v>
      </c>
      <c r="D7" s="12"/>
      <c r="E7" s="12"/>
      <c r="F7" s="12"/>
      <c r="G7" s="13"/>
      <c r="H7" s="12"/>
      <c r="I7" s="12"/>
      <c r="J7" s="37"/>
    </row>
    <row r="8" spans="1:12" ht="15" customHeight="1" thickTop="1">
      <c r="A8" s="222" t="s">
        <v>163</v>
      </c>
      <c r="B8" s="164" t="s">
        <v>229</v>
      </c>
      <c r="C8" s="164" t="s">
        <v>230</v>
      </c>
      <c r="D8" s="174" t="s">
        <v>62</v>
      </c>
      <c r="E8" s="174"/>
      <c r="F8" s="174" t="s">
        <v>12</v>
      </c>
      <c r="G8" s="174" t="s">
        <v>8</v>
      </c>
      <c r="H8" s="173"/>
      <c r="I8" s="173"/>
      <c r="J8" s="176"/>
    </row>
    <row r="9" spans="1:12" ht="15" customHeight="1">
      <c r="A9" s="353">
        <v>100</v>
      </c>
      <c r="B9" s="157">
        <v>18017</v>
      </c>
      <c r="C9" s="246">
        <f>4/12</f>
        <v>0.33333333333333331</v>
      </c>
      <c r="D9" s="245">
        <f>(B9*C9)/27</f>
        <v>222.43209876543207</v>
      </c>
      <c r="E9" s="242"/>
      <c r="F9" s="242" t="s">
        <v>62</v>
      </c>
      <c r="G9" s="464" t="s">
        <v>241</v>
      </c>
      <c r="H9" s="464"/>
      <c r="I9" s="464"/>
      <c r="J9" s="464"/>
    </row>
    <row r="10" spans="1:12" ht="15" customHeight="1">
      <c r="A10" s="230"/>
      <c r="B10" s="157"/>
      <c r="C10" s="171"/>
      <c r="D10" s="241"/>
      <c r="E10" s="241"/>
      <c r="F10" s="241"/>
      <c r="G10" s="464"/>
      <c r="H10" s="464"/>
      <c r="I10" s="464"/>
      <c r="J10" s="464"/>
    </row>
    <row r="11" spans="1:12" ht="15" customHeight="1">
      <c r="A11" s="230"/>
      <c r="B11" s="157"/>
      <c r="C11" s="171"/>
      <c r="D11" s="241"/>
      <c r="E11" s="241"/>
      <c r="F11" s="241"/>
      <c r="G11" s="464"/>
      <c r="H11" s="464"/>
      <c r="I11" s="464"/>
      <c r="J11" s="464"/>
    </row>
    <row r="12" spans="1:12" ht="15" customHeight="1">
      <c r="A12" s="230"/>
      <c r="B12" s="158"/>
      <c r="C12" s="171"/>
      <c r="D12" s="241"/>
      <c r="E12" s="241"/>
      <c r="F12" s="241"/>
      <c r="G12" s="464"/>
      <c r="H12" s="464"/>
      <c r="I12" s="464"/>
      <c r="J12" s="464"/>
    </row>
    <row r="13" spans="1:12" ht="15" customHeight="1">
      <c r="A13" s="230"/>
      <c r="B13" s="169"/>
      <c r="C13" s="170"/>
      <c r="D13" s="241"/>
      <c r="E13" s="241"/>
      <c r="F13" s="241"/>
      <c r="G13" s="460"/>
      <c r="H13" s="460"/>
      <c r="I13" s="460"/>
      <c r="J13" s="460"/>
    </row>
    <row r="14" spans="1:12" ht="15" customHeight="1">
      <c r="A14" s="230"/>
      <c r="B14" s="169"/>
      <c r="C14" s="170"/>
      <c r="D14" s="241"/>
      <c r="E14" s="241"/>
      <c r="F14" s="241"/>
      <c r="G14" s="460"/>
      <c r="H14" s="460"/>
      <c r="I14" s="460"/>
      <c r="J14" s="460"/>
    </row>
    <row r="15" spans="1:12" ht="15" customHeight="1">
      <c r="A15" s="230"/>
      <c r="B15" s="169"/>
      <c r="C15" s="170"/>
      <c r="D15" s="241"/>
      <c r="E15" s="241"/>
      <c r="F15" s="241"/>
      <c r="G15" s="460"/>
      <c r="H15" s="460"/>
      <c r="I15" s="460"/>
      <c r="J15" s="460"/>
    </row>
    <row r="16" spans="1:12" ht="15" customHeight="1">
      <c r="A16" s="230"/>
      <c r="B16" s="169"/>
      <c r="C16" s="170"/>
      <c r="D16" s="241"/>
      <c r="E16" s="241"/>
      <c r="F16" s="241"/>
      <c r="G16" s="460"/>
      <c r="H16" s="460"/>
      <c r="I16" s="460"/>
      <c r="J16" s="460"/>
    </row>
    <row r="17" spans="1:12" ht="15" customHeight="1">
      <c r="A17" s="230"/>
      <c r="B17" s="169"/>
      <c r="C17" s="170"/>
      <c r="D17" s="241"/>
      <c r="E17" s="241"/>
      <c r="F17" s="241"/>
      <c r="G17" s="460"/>
      <c r="H17" s="460"/>
      <c r="I17" s="460"/>
      <c r="J17" s="460"/>
    </row>
    <row r="18" spans="1:12" ht="15" customHeight="1" thickBot="1">
      <c r="A18" s="231" t="s">
        <v>204</v>
      </c>
      <c r="B18" s="167"/>
      <c r="C18" s="172"/>
      <c r="D18" s="252">
        <f>ROUNDUP(D9,-1)</f>
        <v>230</v>
      </c>
      <c r="E18" s="243"/>
      <c r="F18" s="243"/>
      <c r="G18" s="462"/>
      <c r="H18" s="462"/>
      <c r="I18" s="462"/>
      <c r="J18" s="462"/>
    </row>
    <row r="19" spans="1:12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D18*A9</f>
        <v>23000</v>
      </c>
      <c r="J19" s="166" t="s">
        <v>62</v>
      </c>
    </row>
    <row r="20" spans="1:12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23000</v>
      </c>
      <c r="J20" s="163" t="s">
        <v>62</v>
      </c>
    </row>
    <row r="21" spans="1:12" ht="15" customHeight="1"/>
    <row r="25" spans="1:12">
      <c r="E25" s="232"/>
      <c r="G25" s="232"/>
      <c r="L25" s="349"/>
    </row>
    <row r="26" spans="1:12">
      <c r="L26" s="349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7">
    <mergeCell ref="G17:J17"/>
    <mergeCell ref="G18:J18"/>
    <mergeCell ref="G9:J12"/>
    <mergeCell ref="G13:J13"/>
    <mergeCell ref="G14:J14"/>
    <mergeCell ref="G15:J15"/>
    <mergeCell ref="G16:J16"/>
  </mergeCells>
  <pageMargins left="0.75" right="0.75" top="1" bottom="1" header="0.5" footer="0.5"/>
  <pageSetup scale="68" orientation="portrait" horizontalDpi="4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A592-BBCA-4886-BBF2-5E7E5F8BBFE6}">
  <sheetPr codeName="Sheet52">
    <tabColor rgb="FF92D050"/>
    <pageSetUpPr fitToPage="1"/>
  </sheetPr>
  <dimension ref="A1:Q53"/>
  <sheetViews>
    <sheetView view="pageBreakPreview" zoomScaleNormal="100" zoomScaleSheetLayoutView="100" workbookViewId="0">
      <selection activeCell="A34" sqref="A34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242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 t="s">
        <v>229</v>
      </c>
      <c r="C8" s="164" t="s">
        <v>230</v>
      </c>
      <c r="D8" s="174" t="s">
        <v>62</v>
      </c>
      <c r="E8" s="174"/>
      <c r="F8" s="174" t="s">
        <v>12</v>
      </c>
      <c r="G8" s="174" t="s">
        <v>8</v>
      </c>
      <c r="H8" s="173"/>
      <c r="I8" s="173"/>
      <c r="J8" s="176"/>
    </row>
    <row r="9" spans="1:10" ht="15" customHeight="1">
      <c r="A9" s="353">
        <v>80</v>
      </c>
      <c r="B9" s="157">
        <v>18017</v>
      </c>
      <c r="C9" s="165">
        <f>3/12</f>
        <v>0.25</v>
      </c>
      <c r="D9" s="242">
        <f>(B9*C9)/27</f>
        <v>166.82407407407408</v>
      </c>
      <c r="E9" s="242"/>
      <c r="F9" s="242" t="s">
        <v>62</v>
      </c>
      <c r="G9" s="464" t="s">
        <v>243</v>
      </c>
      <c r="H9" s="464"/>
      <c r="I9" s="464"/>
      <c r="J9" s="464"/>
    </row>
    <row r="10" spans="1:10" ht="15" customHeight="1">
      <c r="A10" s="230"/>
      <c r="B10" s="157"/>
      <c r="C10" s="171"/>
      <c r="D10" s="241"/>
      <c r="E10" s="241"/>
      <c r="F10" s="241"/>
      <c r="G10" s="464"/>
      <c r="H10" s="464"/>
      <c r="I10" s="464"/>
      <c r="J10" s="464"/>
    </row>
    <row r="11" spans="1:10" ht="15" customHeight="1">
      <c r="A11" s="230"/>
      <c r="B11" s="157"/>
      <c r="C11" s="171"/>
      <c r="D11" s="241"/>
      <c r="E11" s="241"/>
      <c r="F11" s="241"/>
      <c r="G11" s="464"/>
      <c r="H11" s="464"/>
      <c r="I11" s="464"/>
      <c r="J11" s="464"/>
    </row>
    <row r="12" spans="1:10" ht="15" customHeight="1">
      <c r="A12" s="230"/>
      <c r="B12" s="158"/>
      <c r="C12" s="171"/>
      <c r="D12" s="241"/>
      <c r="E12" s="241"/>
      <c r="F12" s="241"/>
      <c r="G12" s="464"/>
      <c r="H12" s="464"/>
      <c r="I12" s="464"/>
      <c r="J12" s="464"/>
    </row>
    <row r="13" spans="1:10" ht="15" customHeight="1">
      <c r="A13" s="230"/>
      <c r="B13" s="169"/>
      <c r="C13" s="170"/>
      <c r="D13" s="241"/>
      <c r="E13" s="241"/>
      <c r="F13" s="241"/>
      <c r="G13" s="460"/>
      <c r="H13" s="460"/>
      <c r="I13" s="460"/>
      <c r="J13" s="460"/>
    </row>
    <row r="14" spans="1:10" ht="15" customHeight="1">
      <c r="A14" s="230"/>
      <c r="B14" s="169"/>
      <c r="C14" s="170"/>
      <c r="D14" s="241"/>
      <c r="E14" s="241"/>
      <c r="F14" s="241"/>
      <c r="G14" s="460"/>
      <c r="H14" s="460"/>
      <c r="I14" s="460"/>
      <c r="J14" s="460"/>
    </row>
    <row r="15" spans="1:10" ht="15" customHeight="1">
      <c r="A15" s="230"/>
      <c r="B15" s="169"/>
      <c r="C15" s="170"/>
      <c r="D15" s="241"/>
      <c r="E15" s="241"/>
      <c r="F15" s="241"/>
      <c r="G15" s="460"/>
      <c r="H15" s="460"/>
      <c r="I15" s="460"/>
      <c r="J15" s="460"/>
    </row>
    <row r="16" spans="1:10" ht="15" customHeight="1">
      <c r="A16" s="230"/>
      <c r="B16" s="169"/>
      <c r="C16" s="170"/>
      <c r="D16" s="241"/>
      <c r="E16" s="241"/>
      <c r="F16" s="241"/>
      <c r="G16" s="460"/>
      <c r="H16" s="460"/>
      <c r="I16" s="460"/>
      <c r="J16" s="460"/>
    </row>
    <row r="17" spans="1:10" ht="15" customHeight="1">
      <c r="A17" s="230"/>
      <c r="B17" s="169"/>
      <c r="C17" s="170"/>
      <c r="D17" s="241"/>
      <c r="E17" s="241"/>
      <c r="F17" s="241"/>
      <c r="G17" s="460"/>
      <c r="H17" s="460"/>
      <c r="I17" s="460"/>
      <c r="J17" s="460"/>
    </row>
    <row r="18" spans="1:10" ht="15" customHeight="1" thickBot="1">
      <c r="A18" s="231" t="s">
        <v>204</v>
      </c>
      <c r="B18" s="167"/>
      <c r="C18" s="172"/>
      <c r="D18" s="243">
        <f>ROUNDUP(D9,-1)</f>
        <v>170</v>
      </c>
      <c r="E18" s="243"/>
      <c r="F18" s="243"/>
      <c r="G18" s="462"/>
      <c r="H18" s="462"/>
      <c r="I18" s="462"/>
      <c r="J18" s="462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D18*A9</f>
        <v>13600</v>
      </c>
      <c r="J19" s="166" t="s">
        <v>62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13600</v>
      </c>
      <c r="J20" s="163" t="s">
        <v>62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7">
    <mergeCell ref="G17:J17"/>
    <mergeCell ref="G18:J18"/>
    <mergeCell ref="G9:J12"/>
    <mergeCell ref="G13:J13"/>
    <mergeCell ref="G14:J14"/>
    <mergeCell ref="G15:J15"/>
    <mergeCell ref="G16:J16"/>
  </mergeCells>
  <pageMargins left="0.75" right="0.75" top="1" bottom="1" header="0.5" footer="0.5"/>
  <pageSetup scale="68" orientation="portrait" horizontalDpi="4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7119-C2A5-4E2F-9B28-4098095BC928}">
  <sheetPr codeName="Sheet53">
    <tabColor rgb="FFC00000"/>
    <pageSetUpPr fitToPage="1"/>
  </sheetPr>
  <dimension ref="A1:K19"/>
  <sheetViews>
    <sheetView workbookViewId="0">
      <selection activeCell="P55" sqref="P55"/>
    </sheetView>
  </sheetViews>
  <sheetFormatPr defaultRowHeight="13.15"/>
  <cols>
    <col min="7" max="7" width="20" customWidth="1"/>
    <col min="8" max="8" width="12.42578125" customWidth="1"/>
  </cols>
  <sheetData>
    <row r="1" spans="1:11" ht="15.6">
      <c r="A1" s="25" t="s">
        <v>0</v>
      </c>
      <c r="B1" s="26"/>
      <c r="C1" s="26"/>
      <c r="D1" s="27"/>
      <c r="E1" s="27"/>
      <c r="F1" s="27"/>
      <c r="G1" s="27"/>
      <c r="H1" s="26" t="s">
        <v>1</v>
      </c>
      <c r="I1" s="27"/>
      <c r="J1" s="27"/>
      <c r="K1" s="28"/>
    </row>
    <row r="2" spans="1:11">
      <c r="A2" s="29"/>
      <c r="K2" s="30"/>
    </row>
    <row r="3" spans="1:11">
      <c r="A3" s="31" t="s">
        <v>2</v>
      </c>
      <c r="B3" s="1"/>
      <c r="C3" t="str">
        <f>'Line Items'!B1</f>
        <v>SDYS - Green Stormwater Demonstration</v>
      </c>
      <c r="H3" s="1" t="s">
        <v>3</v>
      </c>
      <c r="I3" s="342"/>
      <c r="J3" s="1" t="s">
        <v>4</v>
      </c>
      <c r="K3" s="32"/>
    </row>
    <row r="4" spans="1:11">
      <c r="A4" s="31" t="s">
        <v>5</v>
      </c>
      <c r="B4" s="1"/>
      <c r="C4">
        <f>'Line Items'!B2</f>
        <v>0</v>
      </c>
      <c r="H4" s="1" t="s">
        <v>6</v>
      </c>
      <c r="I4" s="343"/>
      <c r="J4" s="1" t="s">
        <v>4</v>
      </c>
      <c r="K4" s="32"/>
    </row>
    <row r="5" spans="1:11">
      <c r="A5" s="31"/>
      <c r="B5" s="1"/>
      <c r="C5" s="1"/>
      <c r="H5" s="1"/>
      <c r="J5" s="1"/>
      <c r="K5" s="33"/>
    </row>
    <row r="6" spans="1:11">
      <c r="A6" s="29"/>
      <c r="H6" s="1"/>
      <c r="J6" s="1"/>
      <c r="K6" s="30"/>
    </row>
    <row r="7" spans="1:11">
      <c r="A7" s="34" t="s">
        <v>7</v>
      </c>
      <c r="B7" s="17"/>
      <c r="C7" s="18"/>
      <c r="D7" s="19" t="s">
        <v>8</v>
      </c>
      <c r="E7" s="20"/>
      <c r="F7" s="20"/>
      <c r="G7" s="20"/>
      <c r="H7" s="21"/>
      <c r="I7" s="20"/>
      <c r="J7" s="20"/>
      <c r="K7" s="35"/>
    </row>
    <row r="8" spans="1:11" ht="13.9" thickBot="1">
      <c r="A8" s="344" t="s">
        <v>244</v>
      </c>
      <c r="B8" s="10"/>
      <c r="C8" s="52"/>
      <c r="D8" s="350" t="s">
        <v>245</v>
      </c>
      <c r="E8" s="12"/>
      <c r="F8" s="12"/>
      <c r="G8" s="12"/>
      <c r="H8" s="13"/>
      <c r="I8" s="12"/>
      <c r="J8" s="12"/>
      <c r="K8" s="37"/>
    </row>
    <row r="9" spans="1:11" ht="13.9" thickTop="1">
      <c r="A9" s="38"/>
      <c r="B9" s="50"/>
      <c r="C9" s="55"/>
      <c r="D9" s="56"/>
      <c r="H9" s="4"/>
      <c r="K9" s="30"/>
    </row>
    <row r="10" spans="1:11">
      <c r="A10" s="53" t="s">
        <v>11</v>
      </c>
      <c r="B10" s="54"/>
      <c r="C10" s="49"/>
      <c r="D10" s="49" t="s">
        <v>12</v>
      </c>
      <c r="E10" s="16"/>
      <c r="F10" s="16"/>
      <c r="G10" s="16"/>
      <c r="H10" s="5" t="s">
        <v>8</v>
      </c>
      <c r="K10" s="30"/>
    </row>
    <row r="11" spans="1:11">
      <c r="A11" s="345" t="s">
        <v>13</v>
      </c>
      <c r="B11" s="6"/>
      <c r="C11" s="6"/>
      <c r="D11" s="351" t="s">
        <v>64</v>
      </c>
      <c r="E11" s="15"/>
      <c r="F11" s="15"/>
      <c r="G11" s="50"/>
      <c r="H11" s="8"/>
      <c r="I11" s="8"/>
      <c r="J11" s="8"/>
      <c r="K11" s="40"/>
    </row>
    <row r="12" spans="1:11">
      <c r="A12" s="41"/>
      <c r="B12" s="22"/>
      <c r="C12" s="22"/>
      <c r="D12" s="347"/>
      <c r="E12" s="14"/>
      <c r="F12" s="15"/>
      <c r="G12" s="15"/>
      <c r="H12" s="24"/>
      <c r="I12" s="2"/>
      <c r="J12" s="2"/>
      <c r="K12" s="33"/>
    </row>
    <row r="13" spans="1:11">
      <c r="A13" s="346"/>
      <c r="B13" s="347"/>
      <c r="C13" s="22"/>
      <c r="D13" s="22"/>
      <c r="E13" s="14"/>
      <c r="F13" s="15"/>
      <c r="G13" s="15"/>
      <c r="H13" s="4"/>
      <c r="K13" s="30"/>
    </row>
    <row r="14" spans="1:11">
      <c r="A14" s="41"/>
      <c r="B14" s="23"/>
      <c r="C14" s="23"/>
      <c r="D14" s="347"/>
      <c r="E14" s="14"/>
      <c r="F14" s="15"/>
      <c r="G14" s="15"/>
      <c r="H14" s="4"/>
      <c r="K14" s="30"/>
    </row>
    <row r="15" spans="1:11" ht="13.9" thickBot="1">
      <c r="A15" s="153"/>
      <c r="B15" s="80"/>
      <c r="C15" s="80"/>
      <c r="D15" s="348"/>
      <c r="E15" s="96"/>
      <c r="F15" s="97"/>
      <c r="G15" s="97"/>
      <c r="H15" s="65"/>
      <c r="I15" s="57"/>
      <c r="J15" s="57"/>
      <c r="K15" s="70"/>
    </row>
    <row r="16" spans="1:11" ht="13.9" thickTop="1">
      <c r="A16" s="29"/>
      <c r="G16" s="1"/>
      <c r="H16" s="1" t="s">
        <v>16</v>
      </c>
      <c r="I16" s="1"/>
      <c r="J16" s="16">
        <f>SUM(D12:D15)</f>
        <v>0</v>
      </c>
      <c r="K16" s="71" t="s">
        <v>64</v>
      </c>
    </row>
    <row r="17" spans="1:11" ht="13.9" thickBot="1">
      <c r="A17" s="42"/>
      <c r="B17" s="43"/>
      <c r="C17" s="43"/>
      <c r="D17" s="43"/>
      <c r="E17" s="43"/>
      <c r="F17" s="43"/>
      <c r="G17" s="44"/>
      <c r="H17" s="44"/>
      <c r="I17" s="86" t="s">
        <v>17</v>
      </c>
      <c r="J17" s="73"/>
      <c r="K17" s="47"/>
    </row>
    <row r="18" spans="1:11">
      <c r="A18" t="s">
        <v>18</v>
      </c>
      <c r="B18" s="349"/>
    </row>
    <row r="19" spans="1:11">
      <c r="G19" s="1"/>
      <c r="H19" s="1"/>
      <c r="I19" s="1"/>
      <c r="J19" s="16"/>
      <c r="K19" s="16"/>
    </row>
  </sheetData>
  <phoneticPr fontId="0" type="noConversion"/>
  <pageMargins left="0.75" right="0.75" top="1" bottom="1" header="0.5" footer="0.5"/>
  <pageSetup scale="81" orientation="portrait" horizontalDpi="4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26B2-335E-4605-BDD5-2FC2DC12BFAF}">
  <sheetPr codeName="Sheet54">
    <tabColor rgb="FFC00000"/>
    <pageSetUpPr fitToPage="1"/>
  </sheetPr>
  <dimension ref="A1:L38"/>
  <sheetViews>
    <sheetView zoomScaleNormal="100" zoomScaleSheetLayoutView="100" workbookViewId="0">
      <selection activeCell="C47" sqref="C47"/>
    </sheetView>
  </sheetViews>
  <sheetFormatPr defaultRowHeight="13.15"/>
  <cols>
    <col min="4" max="4" width="14" customWidth="1"/>
    <col min="7" max="7" width="6.85546875" customWidth="1"/>
    <col min="8" max="8" width="7" customWidth="1"/>
    <col min="9" max="9" width="12.85546875" customWidth="1"/>
  </cols>
  <sheetData>
    <row r="1" spans="1:12" ht="15.6">
      <c r="A1" s="25" t="s">
        <v>0</v>
      </c>
      <c r="B1" s="26"/>
      <c r="C1" s="26"/>
      <c r="D1" s="27"/>
      <c r="E1" s="27"/>
      <c r="F1" s="27"/>
      <c r="G1" s="27"/>
      <c r="H1" s="27"/>
      <c r="I1" s="26" t="s">
        <v>1</v>
      </c>
      <c r="J1" s="27"/>
      <c r="K1" s="27"/>
      <c r="L1" s="28"/>
    </row>
    <row r="2" spans="1:12">
      <c r="A2" s="29"/>
      <c r="L2" s="30"/>
    </row>
    <row r="3" spans="1:12">
      <c r="A3" s="31" t="s">
        <v>2</v>
      </c>
      <c r="B3" s="1"/>
      <c r="C3" t="str">
        <f>'Line Items'!B1</f>
        <v>SDYS - Green Stormwater Demonstration</v>
      </c>
      <c r="I3" s="1" t="s">
        <v>3</v>
      </c>
      <c r="J3" s="342" t="s">
        <v>246</v>
      </c>
      <c r="K3" s="1" t="s">
        <v>4</v>
      </c>
      <c r="L3" s="32">
        <v>42121</v>
      </c>
    </row>
    <row r="4" spans="1:12">
      <c r="A4" s="31" t="s">
        <v>5</v>
      </c>
      <c r="B4" s="1"/>
      <c r="C4">
        <f>'Line Items'!B2</f>
        <v>0</v>
      </c>
      <c r="I4" s="1" t="s">
        <v>6</v>
      </c>
      <c r="J4" s="343"/>
      <c r="K4" s="1" t="s">
        <v>4</v>
      </c>
      <c r="L4" s="32"/>
    </row>
    <row r="5" spans="1:12">
      <c r="A5" s="31"/>
      <c r="B5" s="1"/>
      <c r="C5" s="1"/>
      <c r="I5" s="1"/>
      <c r="K5" s="1"/>
      <c r="L5" s="33"/>
    </row>
    <row r="6" spans="1:12">
      <c r="A6" s="29"/>
      <c r="I6" s="1"/>
      <c r="K6" s="1"/>
      <c r="L6" s="30"/>
    </row>
    <row r="7" spans="1:12">
      <c r="A7" s="34" t="s">
        <v>7</v>
      </c>
      <c r="B7" s="17"/>
      <c r="C7" s="18"/>
      <c r="D7" s="19" t="s">
        <v>8</v>
      </c>
      <c r="E7" s="20"/>
      <c r="F7" s="20"/>
      <c r="G7" s="20"/>
      <c r="H7" s="20"/>
      <c r="I7" s="21"/>
      <c r="J7" s="20"/>
      <c r="K7" s="20"/>
      <c r="L7" s="35"/>
    </row>
    <row r="8" spans="1:12" ht="13.9" thickBot="1">
      <c r="A8" s="36">
        <v>190101</v>
      </c>
      <c r="B8" s="10"/>
      <c r="C8" s="52"/>
      <c r="D8" s="11" t="s">
        <v>225</v>
      </c>
      <c r="E8" s="12"/>
      <c r="F8" s="12"/>
      <c r="G8" s="12"/>
      <c r="H8" s="12"/>
      <c r="I8" s="13"/>
      <c r="J8" s="12"/>
      <c r="K8" s="12"/>
      <c r="L8" s="37"/>
    </row>
    <row r="9" spans="1:12" ht="13.9" thickTop="1">
      <c r="B9" s="51"/>
      <c r="C9" s="51"/>
      <c r="D9" s="51"/>
      <c r="I9" s="4"/>
      <c r="L9" s="30"/>
    </row>
    <row r="10" spans="1:12">
      <c r="A10" s="477" t="s">
        <v>247</v>
      </c>
      <c r="B10" s="475" t="s">
        <v>11</v>
      </c>
      <c r="C10" s="476"/>
      <c r="D10" s="94" t="s">
        <v>61</v>
      </c>
      <c r="E10" s="16"/>
      <c r="G10" s="16"/>
      <c r="H10" s="16"/>
      <c r="I10" s="5" t="s">
        <v>248</v>
      </c>
      <c r="L10" s="30"/>
    </row>
    <row r="11" spans="1:12">
      <c r="A11" s="478"/>
      <c r="B11" s="22" t="s">
        <v>249</v>
      </c>
      <c r="C11" s="22" t="s">
        <v>249</v>
      </c>
      <c r="D11" s="22" t="s">
        <v>250</v>
      </c>
      <c r="E11" s="15"/>
      <c r="G11" s="15"/>
      <c r="H11" s="50"/>
      <c r="I11" s="8"/>
      <c r="J11" s="8"/>
      <c r="K11" s="8"/>
      <c r="L11" s="40"/>
    </row>
    <row r="12" spans="1:12">
      <c r="A12" s="347" t="s">
        <v>251</v>
      </c>
      <c r="B12" s="347" t="s">
        <v>252</v>
      </c>
      <c r="C12" s="347" t="s">
        <v>253</v>
      </c>
      <c r="D12" s="83">
        <v>1600</v>
      </c>
      <c r="E12" s="111"/>
      <c r="G12" s="15"/>
      <c r="H12" s="15"/>
      <c r="I12" s="360" t="s">
        <v>254</v>
      </c>
      <c r="J12" s="2"/>
      <c r="K12" s="2"/>
      <c r="L12" s="33"/>
    </row>
    <row r="13" spans="1:12">
      <c r="A13" s="347"/>
      <c r="B13" s="347"/>
      <c r="C13" s="347"/>
      <c r="D13" s="83"/>
      <c r="E13" s="111"/>
      <c r="F13" s="15"/>
      <c r="G13" s="15"/>
      <c r="H13" s="15"/>
      <c r="I13" s="4"/>
      <c r="L13" s="30"/>
    </row>
    <row r="14" spans="1:12">
      <c r="A14" s="23"/>
      <c r="B14" s="23"/>
      <c r="C14" s="23"/>
      <c r="D14" s="83"/>
      <c r="E14" s="111"/>
      <c r="F14" s="15"/>
      <c r="G14" s="15"/>
      <c r="H14" s="15"/>
      <c r="I14" s="4"/>
      <c r="L14" s="30"/>
    </row>
    <row r="15" spans="1:12">
      <c r="A15" s="23"/>
      <c r="B15" s="23"/>
      <c r="C15" s="23"/>
      <c r="D15" s="83"/>
      <c r="E15" s="111"/>
      <c r="F15" s="15"/>
      <c r="G15" s="15"/>
      <c r="H15" s="15"/>
      <c r="I15" s="4"/>
      <c r="L15" s="30"/>
    </row>
    <row r="16" spans="1:12">
      <c r="A16" s="23"/>
      <c r="B16" s="23"/>
      <c r="C16" s="23"/>
      <c r="D16" s="83"/>
      <c r="E16" s="111"/>
      <c r="F16" s="15"/>
      <c r="G16" s="15"/>
      <c r="H16" s="15"/>
      <c r="I16" s="4"/>
      <c r="L16" s="30"/>
    </row>
    <row r="17" spans="1:12">
      <c r="A17" s="23"/>
      <c r="B17" s="23"/>
      <c r="C17" s="23"/>
      <c r="D17" s="83"/>
      <c r="E17" s="111"/>
      <c r="F17" s="15"/>
      <c r="G17" s="15"/>
      <c r="H17" s="15"/>
      <c r="I17" s="4"/>
      <c r="L17" s="30"/>
    </row>
    <row r="18" spans="1:12">
      <c r="A18" s="23"/>
      <c r="B18" s="23"/>
      <c r="C18" s="23"/>
      <c r="D18" s="83"/>
      <c r="E18" s="111"/>
      <c r="F18" s="15"/>
      <c r="G18" s="15"/>
      <c r="H18" s="15"/>
      <c r="I18" s="4"/>
      <c r="L18" s="30"/>
    </row>
    <row r="19" spans="1:12">
      <c r="A19" s="23"/>
      <c r="B19" s="23"/>
      <c r="C19" s="23"/>
      <c r="D19" s="83"/>
      <c r="E19" s="111"/>
      <c r="F19" s="15"/>
      <c r="G19" s="15"/>
      <c r="H19" s="15"/>
      <c r="I19" s="4"/>
      <c r="L19" s="30"/>
    </row>
    <row r="20" spans="1:12">
      <c r="A20" s="23"/>
      <c r="B20" s="23"/>
      <c r="C20" s="23"/>
      <c r="D20" s="83"/>
      <c r="E20" s="111"/>
      <c r="F20" s="15"/>
      <c r="G20" s="15"/>
      <c r="H20" s="15"/>
      <c r="I20" s="4"/>
      <c r="L20" s="30"/>
    </row>
    <row r="21" spans="1:12">
      <c r="A21" s="23"/>
      <c r="B21" s="23"/>
      <c r="C21" s="23"/>
      <c r="D21" s="83"/>
      <c r="E21" s="111"/>
      <c r="F21" s="15"/>
      <c r="G21" s="15"/>
      <c r="H21" s="15"/>
      <c r="I21" s="4"/>
      <c r="L21" s="30"/>
    </row>
    <row r="22" spans="1:12">
      <c r="A22" s="23"/>
      <c r="B22" s="23"/>
      <c r="C22" s="23"/>
      <c r="D22" s="83"/>
      <c r="E22" s="111"/>
      <c r="F22" s="15"/>
      <c r="G22" s="15"/>
      <c r="H22" s="15"/>
      <c r="I22" s="4"/>
      <c r="L22" s="30"/>
    </row>
    <row r="23" spans="1:12">
      <c r="A23" s="23"/>
      <c r="B23" s="23"/>
      <c r="C23" s="23"/>
      <c r="D23" s="83"/>
      <c r="E23" s="111"/>
      <c r="F23" s="15"/>
      <c r="G23" s="15"/>
      <c r="H23" s="15"/>
      <c r="I23" s="4"/>
      <c r="L23" s="30"/>
    </row>
    <row r="24" spans="1:12">
      <c r="A24" s="23"/>
      <c r="B24" s="23"/>
      <c r="C24" s="23"/>
      <c r="D24" s="83"/>
      <c r="E24" s="111"/>
      <c r="F24" s="15"/>
      <c r="G24" s="15"/>
      <c r="H24" s="15"/>
      <c r="I24" s="4"/>
      <c r="L24" s="30"/>
    </row>
    <row r="25" spans="1:12">
      <c r="A25" s="23"/>
      <c r="B25" s="23"/>
      <c r="C25" s="23"/>
      <c r="D25" s="83"/>
      <c r="E25" s="111"/>
      <c r="F25" s="15"/>
      <c r="G25" s="15"/>
      <c r="H25" s="15"/>
      <c r="I25" s="4"/>
      <c r="L25" s="30"/>
    </row>
    <row r="26" spans="1:12">
      <c r="A26" s="23"/>
      <c r="B26" s="23"/>
      <c r="C26" s="23"/>
      <c r="D26" s="83"/>
      <c r="E26" s="111"/>
      <c r="F26" s="15"/>
      <c r="G26" s="15"/>
      <c r="H26" s="15"/>
      <c r="I26" s="4"/>
      <c r="L26" s="30"/>
    </row>
    <row r="27" spans="1:12">
      <c r="A27" s="23"/>
      <c r="B27" s="23"/>
      <c r="C27" s="23"/>
      <c r="D27" s="83"/>
      <c r="E27" s="111"/>
      <c r="F27" s="15"/>
      <c r="G27" s="15"/>
      <c r="H27" s="15"/>
      <c r="I27" s="4"/>
      <c r="L27" s="30"/>
    </row>
    <row r="28" spans="1:12">
      <c r="A28" s="23"/>
      <c r="B28" s="23"/>
      <c r="C28" s="23"/>
      <c r="D28" s="83"/>
      <c r="E28" s="111"/>
      <c r="F28" s="15"/>
      <c r="G28" s="15"/>
      <c r="H28" s="15"/>
      <c r="I28" s="4"/>
      <c r="L28" s="30"/>
    </row>
    <row r="29" spans="1:12">
      <c r="A29" s="23"/>
      <c r="B29" s="23"/>
      <c r="C29" s="23"/>
      <c r="D29" s="83"/>
      <c r="E29" s="111"/>
      <c r="F29" s="15"/>
      <c r="G29" s="15"/>
      <c r="H29" s="15"/>
      <c r="I29" s="4"/>
      <c r="L29" s="30"/>
    </row>
    <row r="30" spans="1:12">
      <c r="A30" s="23"/>
      <c r="B30" s="23"/>
      <c r="C30" s="23"/>
      <c r="D30" s="83"/>
      <c r="E30" s="111"/>
      <c r="F30" s="15"/>
      <c r="G30" s="15"/>
      <c r="H30" s="15"/>
      <c r="I30" s="4"/>
      <c r="L30" s="30"/>
    </row>
    <row r="31" spans="1:12">
      <c r="A31" s="23"/>
      <c r="B31" s="23"/>
      <c r="C31" s="23"/>
      <c r="D31" s="83"/>
      <c r="E31" s="111"/>
      <c r="F31" s="15"/>
      <c r="G31" s="15"/>
      <c r="H31" s="15"/>
      <c r="I31" s="4"/>
      <c r="L31" s="30"/>
    </row>
    <row r="32" spans="1:12">
      <c r="A32" s="23"/>
      <c r="B32" s="23"/>
      <c r="C32" s="23"/>
      <c r="D32" s="83"/>
      <c r="E32" s="111"/>
      <c r="F32" s="15"/>
      <c r="G32" s="15"/>
      <c r="H32" s="15"/>
      <c r="I32" s="4"/>
      <c r="L32" s="30"/>
    </row>
    <row r="33" spans="1:12">
      <c r="A33" s="23"/>
      <c r="B33" s="23"/>
      <c r="C33" s="23"/>
      <c r="D33" s="83"/>
      <c r="E33" s="111"/>
      <c r="F33" s="15"/>
      <c r="G33" s="15"/>
      <c r="H33" s="15"/>
      <c r="I33" s="4"/>
      <c r="L33" s="30"/>
    </row>
    <row r="34" spans="1:12" ht="13.9" thickBot="1">
      <c r="A34" s="95"/>
      <c r="B34" s="95"/>
      <c r="C34" s="80"/>
      <c r="D34" s="97"/>
      <c r="E34" s="97"/>
      <c r="F34" s="97"/>
      <c r="G34" s="97"/>
      <c r="H34" s="97"/>
      <c r="I34" s="65"/>
      <c r="J34" s="57"/>
      <c r="K34" s="57"/>
      <c r="L34" s="70"/>
    </row>
    <row r="35" spans="1:12" ht="13.9" thickTop="1">
      <c r="A35" s="93"/>
      <c r="B35" s="101" t="s">
        <v>180</v>
      </c>
      <c r="C35" s="100">
        <f>SUM(D12:D33)</f>
        <v>1600</v>
      </c>
      <c r="F35" s="1" t="s">
        <v>255</v>
      </c>
      <c r="I35" s="1"/>
      <c r="J35" s="63">
        <f>ROUNDUP(SUM(D12:D33),0)</f>
        <v>1600</v>
      </c>
      <c r="K35" s="71" t="s">
        <v>250</v>
      </c>
    </row>
    <row r="36" spans="1:12" ht="13.9" thickBot="1">
      <c r="A36" s="42"/>
      <c r="B36" s="43"/>
      <c r="C36" s="43"/>
      <c r="D36" s="43"/>
      <c r="E36" s="43"/>
      <c r="F36" s="43"/>
      <c r="G36" s="44"/>
      <c r="H36" s="44"/>
      <c r="I36" s="86" t="s">
        <v>17</v>
      </c>
      <c r="J36" s="72">
        <v>1600</v>
      </c>
      <c r="K36" s="47" t="s">
        <v>250</v>
      </c>
    </row>
    <row r="37" spans="1:12">
      <c r="A37" s="85" t="s">
        <v>256</v>
      </c>
    </row>
    <row r="38" spans="1:12">
      <c r="A38" s="349" t="s">
        <v>257</v>
      </c>
    </row>
  </sheetData>
  <mergeCells count="2">
    <mergeCell ref="B10:C10"/>
    <mergeCell ref="A10:A11"/>
  </mergeCells>
  <phoneticPr fontId="0" type="noConversion"/>
  <pageMargins left="0.75" right="0.75" top="1" bottom="1" header="0.5" footer="0.5"/>
  <pageSetup scale="81" fitToHeight="0" orientation="portrait" horizontalDpi="4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EDA0-7B2A-4310-B7C4-4B9499A8AEAB}">
  <sheetPr codeName="Sheet55">
    <pageSetUpPr fitToPage="1"/>
  </sheetPr>
  <dimension ref="A1:P67"/>
  <sheetViews>
    <sheetView zoomScaleNormal="100" workbookViewId="0">
      <selection activeCell="R32" sqref="R32"/>
    </sheetView>
  </sheetViews>
  <sheetFormatPr defaultRowHeight="13.15"/>
  <cols>
    <col min="1" max="1" width="13.28515625" customWidth="1"/>
    <col min="2" max="2" width="10.28515625" customWidth="1"/>
    <col min="3" max="3" width="10.42578125" customWidth="1"/>
    <col min="5" max="5" width="9.5703125" bestFit="1" customWidth="1"/>
    <col min="6" max="6" width="10.85546875" customWidth="1"/>
    <col min="8" max="8" width="12.5703125" customWidth="1"/>
  </cols>
  <sheetData>
    <row r="1" spans="1:16" ht="15.6">
      <c r="A1" s="25" t="s">
        <v>0</v>
      </c>
      <c r="B1" s="27"/>
      <c r="C1" s="27"/>
      <c r="D1" s="27"/>
      <c r="E1" s="27"/>
      <c r="F1" s="27"/>
      <c r="G1" s="26" t="s">
        <v>1</v>
      </c>
      <c r="H1" s="27"/>
      <c r="I1" s="27"/>
      <c r="J1" s="27"/>
      <c r="K1" s="28"/>
    </row>
    <row r="2" spans="1:16" ht="15.6">
      <c r="A2" s="66"/>
      <c r="G2" s="3"/>
      <c r="K2" s="30"/>
    </row>
    <row r="3" spans="1:16">
      <c r="A3" s="31" t="s">
        <v>2</v>
      </c>
      <c r="B3" s="1"/>
      <c r="C3" t="str">
        <f>'Line Items'!B1</f>
        <v>SDYS - Green Stormwater Demonstration</v>
      </c>
      <c r="H3" s="1" t="s">
        <v>3</v>
      </c>
      <c r="I3" s="342" t="s">
        <v>258</v>
      </c>
      <c r="J3" s="1" t="s">
        <v>4</v>
      </c>
      <c r="K3" s="32">
        <v>41907</v>
      </c>
    </row>
    <row r="4" spans="1:16">
      <c r="A4" s="31" t="s">
        <v>5</v>
      </c>
      <c r="B4" s="1"/>
      <c r="C4">
        <f>'Line Items'!B2</f>
        <v>0</v>
      </c>
      <c r="H4" s="1" t="s">
        <v>6</v>
      </c>
      <c r="I4" s="7" t="s">
        <v>259</v>
      </c>
      <c r="J4" s="1" t="s">
        <v>4</v>
      </c>
      <c r="K4" s="32">
        <v>41908</v>
      </c>
    </row>
    <row r="5" spans="1:16">
      <c r="A5" s="31"/>
      <c r="B5" s="1"/>
      <c r="C5" s="1"/>
      <c r="D5" s="1"/>
      <c r="H5" s="1"/>
      <c r="J5" s="1"/>
      <c r="K5" s="33"/>
    </row>
    <row r="6" spans="1:16">
      <c r="A6" s="29"/>
      <c r="K6" s="30"/>
    </row>
    <row r="7" spans="1:16">
      <c r="A7" s="481" t="s">
        <v>7</v>
      </c>
      <c r="B7" s="482"/>
      <c r="C7" s="482"/>
      <c r="D7" s="476"/>
      <c r="E7" s="482" t="s">
        <v>8</v>
      </c>
      <c r="F7" s="482"/>
      <c r="G7" s="476"/>
      <c r="H7" s="21"/>
      <c r="I7" s="20"/>
      <c r="J7" s="20"/>
      <c r="K7" s="35"/>
      <c r="N7" s="349" t="s">
        <v>260</v>
      </c>
    </row>
    <row r="8" spans="1:16" ht="13.9" thickBot="1">
      <c r="A8" s="483">
        <v>374002</v>
      </c>
      <c r="B8" s="484"/>
      <c r="C8" s="484"/>
      <c r="D8" s="485"/>
      <c r="E8" s="484" t="s">
        <v>261</v>
      </c>
      <c r="F8" s="484"/>
      <c r="G8" s="485"/>
      <c r="H8" s="13"/>
      <c r="I8" s="12"/>
      <c r="J8" s="12"/>
      <c r="K8" s="37"/>
    </row>
    <row r="9" spans="1:16" ht="13.9" thickTop="1">
      <c r="A9" s="486" t="s">
        <v>11</v>
      </c>
      <c r="B9" s="487"/>
      <c r="C9" s="487"/>
      <c r="D9" s="488"/>
      <c r="E9" s="58" t="s">
        <v>262</v>
      </c>
      <c r="F9" s="59" t="s">
        <v>263</v>
      </c>
      <c r="G9" s="58" t="s">
        <v>264</v>
      </c>
      <c r="H9" s="479" t="s">
        <v>8</v>
      </c>
      <c r="I9" s="528"/>
      <c r="J9" s="528"/>
      <c r="K9" s="529"/>
      <c r="N9" s="76">
        <v>0.17100000000000001</v>
      </c>
      <c r="O9" s="349" t="s">
        <v>265</v>
      </c>
    </row>
    <row r="10" spans="1:16">
      <c r="A10" s="39" t="s">
        <v>247</v>
      </c>
      <c r="B10" s="22" t="s">
        <v>266</v>
      </c>
      <c r="C10" s="22" t="s">
        <v>266</v>
      </c>
      <c r="D10" s="22" t="s">
        <v>267</v>
      </c>
      <c r="E10" s="81" t="s">
        <v>268</v>
      </c>
      <c r="F10" s="22" t="s">
        <v>14</v>
      </c>
      <c r="G10" s="48" t="s">
        <v>269</v>
      </c>
      <c r="H10" s="9"/>
      <c r="I10" s="8"/>
      <c r="J10" s="8"/>
      <c r="K10" s="40"/>
      <c r="N10" s="78">
        <v>0.16900000000000001</v>
      </c>
      <c r="O10" s="61" t="s">
        <v>270</v>
      </c>
    </row>
    <row r="11" spans="1:16">
      <c r="A11" s="119" t="s">
        <v>271</v>
      </c>
      <c r="B11" s="51" t="s">
        <v>272</v>
      </c>
      <c r="C11" s="51" t="s">
        <v>273</v>
      </c>
      <c r="D11" s="51" t="s">
        <v>274</v>
      </c>
      <c r="E11" s="79">
        <v>0.16900000000000001</v>
      </c>
      <c r="F11" s="120">
        <v>94.43</v>
      </c>
      <c r="G11" s="83">
        <f>E11*F11</f>
        <v>15.958670000000001</v>
      </c>
      <c r="H11" s="88" t="s">
        <v>270</v>
      </c>
      <c r="I11" s="62"/>
      <c r="J11" s="60"/>
      <c r="K11" s="67"/>
      <c r="N11" s="78">
        <v>0.12</v>
      </c>
      <c r="O11" s="113" t="s">
        <v>275</v>
      </c>
    </row>
    <row r="12" spans="1:16">
      <c r="A12" s="41" t="s">
        <v>271</v>
      </c>
      <c r="B12" s="22" t="s">
        <v>276</v>
      </c>
      <c r="C12" s="347" t="s">
        <v>277</v>
      </c>
      <c r="D12" s="22" t="s">
        <v>278</v>
      </c>
      <c r="E12" s="79">
        <v>0.16900000000000001</v>
      </c>
      <c r="F12" s="105">
        <v>384.4</v>
      </c>
      <c r="G12" s="83">
        <f t="shared" ref="G12:G28" si="0">E12*F12</f>
        <v>64.9636</v>
      </c>
      <c r="H12" s="61" t="s">
        <v>270</v>
      </c>
      <c r="I12" s="62"/>
      <c r="J12" s="103"/>
      <c r="K12" s="104"/>
      <c r="N12" s="78">
        <v>8.8999999999999996E-2</v>
      </c>
      <c r="O12" s="4" t="s">
        <v>279</v>
      </c>
    </row>
    <row r="13" spans="1:16">
      <c r="A13" s="41" t="s">
        <v>271</v>
      </c>
      <c r="B13" s="22" t="s">
        <v>280</v>
      </c>
      <c r="C13" s="22" t="s">
        <v>281</v>
      </c>
      <c r="D13" s="22" t="s">
        <v>274</v>
      </c>
      <c r="E13" s="79">
        <v>0.12</v>
      </c>
      <c r="F13" s="105">
        <v>94</v>
      </c>
      <c r="G13" s="83">
        <f t="shared" si="0"/>
        <v>11.28</v>
      </c>
      <c r="H13" s="113" t="s">
        <v>275</v>
      </c>
      <c r="I13" s="62"/>
      <c r="J13" s="103"/>
      <c r="K13" s="104"/>
      <c r="N13" s="78">
        <v>0.27100000000000002</v>
      </c>
      <c r="O13" s="4" t="s">
        <v>282</v>
      </c>
    </row>
    <row r="14" spans="1:16">
      <c r="A14" s="41" t="s">
        <v>271</v>
      </c>
      <c r="B14" s="22" t="s">
        <v>281</v>
      </c>
      <c r="C14" s="22" t="s">
        <v>283</v>
      </c>
      <c r="D14" s="22" t="s">
        <v>274</v>
      </c>
      <c r="E14" s="79">
        <v>8.8999999999999996E-2</v>
      </c>
      <c r="F14" s="105">
        <v>75</v>
      </c>
      <c r="G14" s="83">
        <f t="shared" si="0"/>
        <v>6.6749999999999998</v>
      </c>
      <c r="H14" s="4" t="s">
        <v>279</v>
      </c>
      <c r="I14" s="62"/>
      <c r="J14" s="103"/>
      <c r="K14" s="104"/>
    </row>
    <row r="15" spans="1:16" ht="12.75" customHeight="1">
      <c r="A15" s="41" t="s">
        <v>271</v>
      </c>
      <c r="B15" s="22" t="s">
        <v>283</v>
      </c>
      <c r="C15" s="22" t="s">
        <v>284</v>
      </c>
      <c r="D15" s="22" t="s">
        <v>274</v>
      </c>
      <c r="E15" s="79">
        <v>0.27100000000000002</v>
      </c>
      <c r="F15" s="105">
        <v>466.94</v>
      </c>
      <c r="G15" s="83">
        <f t="shared" si="0"/>
        <v>126.54074000000001</v>
      </c>
      <c r="H15" s="4" t="s">
        <v>282</v>
      </c>
      <c r="I15" s="62"/>
      <c r="J15" s="103"/>
      <c r="K15" s="104"/>
      <c r="N15" s="480" t="s">
        <v>285</v>
      </c>
      <c r="O15" s="480"/>
      <c r="P15" s="480"/>
    </row>
    <row r="16" spans="1:16">
      <c r="A16" s="41" t="s">
        <v>286</v>
      </c>
      <c r="B16" s="22" t="s">
        <v>284</v>
      </c>
      <c r="C16" s="22" t="s">
        <v>287</v>
      </c>
      <c r="D16" s="22" t="s">
        <v>274</v>
      </c>
      <c r="E16" s="79">
        <v>0.16900000000000001</v>
      </c>
      <c r="F16" s="105">
        <v>355.21</v>
      </c>
      <c r="G16" s="83">
        <f t="shared" si="0"/>
        <v>60.03049</v>
      </c>
      <c r="H16" s="4" t="s">
        <v>270</v>
      </c>
      <c r="I16" s="62"/>
      <c r="J16" s="103"/>
      <c r="K16" s="104"/>
      <c r="N16" s="480"/>
      <c r="O16" s="480"/>
      <c r="P16" s="480"/>
    </row>
    <row r="17" spans="1:16">
      <c r="A17" s="41" t="s">
        <v>288</v>
      </c>
      <c r="B17" s="347" t="s">
        <v>289</v>
      </c>
      <c r="C17" s="22" t="s">
        <v>290</v>
      </c>
      <c r="D17" s="22" t="s">
        <v>278</v>
      </c>
      <c r="E17" s="79">
        <v>0.16900000000000001</v>
      </c>
      <c r="F17" s="105">
        <v>379.6</v>
      </c>
      <c r="G17" s="83">
        <f t="shared" si="0"/>
        <v>64.152400000000014</v>
      </c>
      <c r="H17" s="4" t="s">
        <v>270</v>
      </c>
      <c r="I17" s="62"/>
      <c r="J17" s="103"/>
      <c r="K17" s="104"/>
      <c r="N17" s="480"/>
      <c r="O17" s="480"/>
      <c r="P17" s="480"/>
    </row>
    <row r="18" spans="1:16">
      <c r="A18" s="41" t="s">
        <v>288</v>
      </c>
      <c r="B18" s="347" t="s">
        <v>291</v>
      </c>
      <c r="C18" s="22" t="s">
        <v>292</v>
      </c>
      <c r="D18" s="22" t="s">
        <v>274</v>
      </c>
      <c r="E18" s="79">
        <v>0.16900000000000001</v>
      </c>
      <c r="F18" s="105">
        <v>40</v>
      </c>
      <c r="G18" s="83">
        <f t="shared" si="0"/>
        <v>6.7600000000000007</v>
      </c>
      <c r="H18" s="4" t="s">
        <v>270</v>
      </c>
      <c r="I18" s="62"/>
      <c r="J18" s="103"/>
      <c r="K18" s="104"/>
    </row>
    <row r="19" spans="1:16">
      <c r="A19" s="41" t="s">
        <v>288</v>
      </c>
      <c r="B19" s="347" t="s">
        <v>293</v>
      </c>
      <c r="C19" s="347" t="s">
        <v>294</v>
      </c>
      <c r="D19" s="22" t="s">
        <v>274</v>
      </c>
      <c r="E19" s="79">
        <v>0.12</v>
      </c>
      <c r="F19" s="105">
        <v>20.6</v>
      </c>
      <c r="G19" s="83">
        <f t="shared" si="0"/>
        <v>2.472</v>
      </c>
      <c r="H19" s="4" t="s">
        <v>275</v>
      </c>
      <c r="I19" s="62"/>
      <c r="J19" s="103"/>
      <c r="K19" s="104"/>
    </row>
    <row r="20" spans="1:16">
      <c r="A20" s="41" t="s">
        <v>288</v>
      </c>
      <c r="B20" s="347" t="s">
        <v>294</v>
      </c>
      <c r="C20" s="22" t="s">
        <v>295</v>
      </c>
      <c r="D20" s="22" t="s">
        <v>274</v>
      </c>
      <c r="E20" s="79">
        <v>8.8999999999999996E-2</v>
      </c>
      <c r="F20" s="105">
        <v>60.01</v>
      </c>
      <c r="G20" s="83">
        <f t="shared" si="0"/>
        <v>5.3408899999999999</v>
      </c>
      <c r="H20" s="4" t="s">
        <v>279</v>
      </c>
      <c r="I20" s="62"/>
      <c r="J20" s="103"/>
      <c r="K20" s="104"/>
    </row>
    <row r="21" spans="1:16">
      <c r="A21" s="41" t="s">
        <v>288</v>
      </c>
      <c r="B21" s="22" t="s">
        <v>295</v>
      </c>
      <c r="C21" s="22" t="s">
        <v>296</v>
      </c>
      <c r="D21" s="22" t="s">
        <v>274</v>
      </c>
      <c r="E21" s="79">
        <v>0.16900000000000001</v>
      </c>
      <c r="F21" s="105">
        <v>538.82000000000005</v>
      </c>
      <c r="G21" s="83">
        <f t="shared" si="0"/>
        <v>91.060580000000016</v>
      </c>
      <c r="H21" s="4" t="s">
        <v>270</v>
      </c>
      <c r="I21" s="62"/>
      <c r="J21" s="103"/>
      <c r="K21" s="104"/>
    </row>
    <row r="22" spans="1:16">
      <c r="A22" s="41" t="s">
        <v>251</v>
      </c>
      <c r="B22" s="22" t="s">
        <v>297</v>
      </c>
      <c r="C22" s="22" t="s">
        <v>298</v>
      </c>
      <c r="D22" s="22" t="s">
        <v>274</v>
      </c>
      <c r="E22" s="79">
        <v>0.12</v>
      </c>
      <c r="F22" s="105">
        <v>25.98</v>
      </c>
      <c r="G22" s="83">
        <f t="shared" si="0"/>
        <v>3.1175999999999999</v>
      </c>
      <c r="H22" s="4" t="s">
        <v>275</v>
      </c>
      <c r="I22" s="62"/>
      <c r="J22" s="103"/>
      <c r="K22" s="104"/>
    </row>
    <row r="23" spans="1:16">
      <c r="A23" s="41" t="s">
        <v>251</v>
      </c>
      <c r="B23" s="22" t="s">
        <v>298</v>
      </c>
      <c r="C23" s="22" t="s">
        <v>299</v>
      </c>
      <c r="D23" s="22" t="s">
        <v>274</v>
      </c>
      <c r="E23" s="79">
        <v>8.8999999999999996E-2</v>
      </c>
      <c r="F23" s="105">
        <v>63.4</v>
      </c>
      <c r="G23" s="83">
        <f t="shared" si="0"/>
        <v>5.6425999999999998</v>
      </c>
      <c r="H23" s="4" t="s">
        <v>279</v>
      </c>
      <c r="I23" s="62"/>
      <c r="J23" s="103"/>
      <c r="K23" s="104"/>
    </row>
    <row r="24" spans="1:16">
      <c r="A24" s="41" t="s">
        <v>251</v>
      </c>
      <c r="B24" s="22" t="s">
        <v>299</v>
      </c>
      <c r="C24" s="22" t="s">
        <v>300</v>
      </c>
      <c r="D24" s="22" t="s">
        <v>274</v>
      </c>
      <c r="E24" s="79">
        <v>0.16900000000000001</v>
      </c>
      <c r="F24" s="105">
        <v>436.19</v>
      </c>
      <c r="G24" s="83">
        <f t="shared" si="0"/>
        <v>73.71611</v>
      </c>
      <c r="H24" s="4" t="s">
        <v>270</v>
      </c>
      <c r="I24" s="62"/>
      <c r="J24" s="62"/>
      <c r="K24" s="68"/>
    </row>
    <row r="25" spans="1:16">
      <c r="A25" s="41" t="s">
        <v>251</v>
      </c>
      <c r="B25" s="22" t="s">
        <v>287</v>
      </c>
      <c r="C25" s="22" t="s">
        <v>301</v>
      </c>
      <c r="D25" s="22" t="s">
        <v>274</v>
      </c>
      <c r="E25" s="79">
        <v>0.12</v>
      </c>
      <c r="F25" s="105">
        <v>42.37</v>
      </c>
      <c r="G25" s="83">
        <f t="shared" si="0"/>
        <v>5.0843999999999996</v>
      </c>
      <c r="H25" s="4" t="s">
        <v>275</v>
      </c>
      <c r="J25" s="62"/>
      <c r="K25" s="68"/>
    </row>
    <row r="26" spans="1:16">
      <c r="A26" s="41" t="s">
        <v>251</v>
      </c>
      <c r="B26" s="22" t="s">
        <v>301</v>
      </c>
      <c r="C26" s="22" t="s">
        <v>302</v>
      </c>
      <c r="D26" s="22" t="s">
        <v>274</v>
      </c>
      <c r="E26" s="79">
        <v>8.8999999999999996E-2</v>
      </c>
      <c r="F26" s="105">
        <v>63.1</v>
      </c>
      <c r="G26" s="125">
        <f t="shared" si="0"/>
        <v>5.6158999999999999</v>
      </c>
      <c r="H26" s="4" t="s">
        <v>279</v>
      </c>
      <c r="K26" s="30"/>
    </row>
    <row r="27" spans="1:16">
      <c r="A27" s="41" t="s">
        <v>251</v>
      </c>
      <c r="B27" s="22" t="s">
        <v>302</v>
      </c>
      <c r="C27" s="22" t="s">
        <v>303</v>
      </c>
      <c r="D27" s="22" t="s">
        <v>274</v>
      </c>
      <c r="E27" s="79">
        <v>0.16900000000000001</v>
      </c>
      <c r="F27" s="105">
        <v>228.11</v>
      </c>
      <c r="G27" s="125">
        <f t="shared" si="0"/>
        <v>38.550590000000007</v>
      </c>
      <c r="H27" s="4" t="s">
        <v>270</v>
      </c>
      <c r="K27" s="30"/>
    </row>
    <row r="28" spans="1:16" ht="13.9" thickBot="1">
      <c r="A28" s="41" t="s">
        <v>304</v>
      </c>
      <c r="B28" s="22" t="s">
        <v>305</v>
      </c>
      <c r="C28" s="22" t="s">
        <v>306</v>
      </c>
      <c r="D28" s="22" t="s">
        <v>278</v>
      </c>
      <c r="E28" s="121">
        <v>0.16900000000000001</v>
      </c>
      <c r="F28" s="105">
        <v>649.20000000000005</v>
      </c>
      <c r="G28" s="125">
        <f t="shared" si="0"/>
        <v>109.71480000000001</v>
      </c>
      <c r="H28" s="9" t="s">
        <v>270</v>
      </c>
      <c r="K28" s="30"/>
    </row>
    <row r="29" spans="1:16" ht="13.9" thickTop="1">
      <c r="A29" s="486" t="s">
        <v>11</v>
      </c>
      <c r="B29" s="487"/>
      <c r="C29" s="487"/>
      <c r="D29" s="488"/>
      <c r="E29" s="123"/>
      <c r="F29" s="124"/>
      <c r="G29" s="59" t="s">
        <v>307</v>
      </c>
      <c r="H29" s="489" t="s">
        <v>8</v>
      </c>
      <c r="I29" s="487"/>
      <c r="J29" s="487"/>
      <c r="K29" s="490"/>
      <c r="M29" s="361" t="s">
        <v>308</v>
      </c>
      <c r="N29" s="110"/>
      <c r="O29" s="362" t="s">
        <v>309</v>
      </c>
      <c r="P29">
        <v>4.1649999999999999E-4</v>
      </c>
    </row>
    <row r="30" spans="1:16">
      <c r="A30" s="41" t="s">
        <v>247</v>
      </c>
      <c r="B30" s="22" t="s">
        <v>266</v>
      </c>
      <c r="C30" s="22" t="s">
        <v>266</v>
      </c>
      <c r="D30" s="22" t="s">
        <v>267</v>
      </c>
      <c r="E30" s="89"/>
      <c r="F30" s="90"/>
      <c r="G30" s="108" t="s">
        <v>269</v>
      </c>
      <c r="K30" s="30"/>
      <c r="M30" s="112"/>
      <c r="N30" s="112"/>
      <c r="O30" s="98"/>
      <c r="P30" s="111"/>
    </row>
    <row r="31" spans="1:16">
      <c r="A31" s="41"/>
      <c r="B31" s="22"/>
      <c r="C31" s="22"/>
      <c r="D31" s="22"/>
      <c r="E31" s="91"/>
      <c r="F31" s="107"/>
      <c r="G31" s="106">
        <f>8258/9</f>
        <v>917.55555555555554</v>
      </c>
      <c r="H31" t="s">
        <v>310</v>
      </c>
      <c r="K31" s="30"/>
      <c r="M31" s="363">
        <f>G11*$P$29</f>
        <v>6.6467860550000002E-3</v>
      </c>
      <c r="N31" s="112"/>
      <c r="O31" s="364">
        <f>G31*$P$29</f>
        <v>0.38216188888888886</v>
      </c>
      <c r="P31" s="111"/>
    </row>
    <row r="32" spans="1:16">
      <c r="A32" s="41"/>
      <c r="B32" s="365"/>
      <c r="C32" s="365"/>
      <c r="D32" s="366"/>
      <c r="E32" s="91"/>
      <c r="F32" s="107"/>
      <c r="G32" s="106">
        <f>1506/9</f>
        <v>167.33333333333334</v>
      </c>
      <c r="H32" s="349" t="s">
        <v>311</v>
      </c>
      <c r="K32" s="30"/>
      <c r="M32" s="363">
        <f>G12*$P$29</f>
        <v>2.7057339399999998E-2</v>
      </c>
      <c r="N32" s="110"/>
      <c r="O32" s="364">
        <f t="shared" ref="O32:O45" si="1">G32*$P$29</f>
        <v>6.969433333333333E-2</v>
      </c>
      <c r="P32" s="111"/>
    </row>
    <row r="33" spans="1:16">
      <c r="A33" s="41"/>
      <c r="B33" s="365"/>
      <c r="C33" s="365"/>
      <c r="D33" s="366"/>
      <c r="E33" s="91"/>
      <c r="F33" s="107"/>
      <c r="G33" s="106">
        <f>2434/9</f>
        <v>270.44444444444446</v>
      </c>
      <c r="H33" s="349" t="s">
        <v>312</v>
      </c>
      <c r="K33" s="30"/>
      <c r="M33" s="363">
        <f t="shared" ref="M33:M48" si="2">G13*$P$29</f>
        <v>4.6981199999999992E-3</v>
      </c>
      <c r="N33" s="110"/>
      <c r="O33" s="364">
        <f t="shared" si="1"/>
        <v>0.11264011111111111</v>
      </c>
      <c r="P33" s="111"/>
    </row>
    <row r="34" spans="1:16">
      <c r="A34" s="41"/>
      <c r="B34" s="365"/>
      <c r="C34" s="365"/>
      <c r="D34" s="366"/>
      <c r="E34" s="91"/>
      <c r="F34" s="107"/>
      <c r="G34" s="106">
        <f>10849/9</f>
        <v>1205.4444444444443</v>
      </c>
      <c r="H34" s="349" t="s">
        <v>313</v>
      </c>
      <c r="K34" s="30"/>
      <c r="M34" s="363">
        <f t="shared" si="2"/>
        <v>2.7801375E-3</v>
      </c>
      <c r="N34" s="112"/>
      <c r="O34" s="364">
        <f t="shared" si="1"/>
        <v>0.50206761111111109</v>
      </c>
      <c r="P34" s="111"/>
    </row>
    <row r="35" spans="1:16">
      <c r="A35" s="41"/>
      <c r="B35" s="365"/>
      <c r="C35" s="365"/>
      <c r="D35" s="366"/>
      <c r="E35" s="91"/>
      <c r="F35" s="107"/>
      <c r="G35" s="22">
        <f>4230/9</f>
        <v>470</v>
      </c>
      <c r="H35" s="349" t="s">
        <v>314</v>
      </c>
      <c r="K35" s="30"/>
      <c r="M35" s="363">
        <f t="shared" si="2"/>
        <v>5.2704218210000001E-2</v>
      </c>
      <c r="N35" s="112"/>
      <c r="O35" s="364">
        <f t="shared" si="1"/>
        <v>0.19575499999999998</v>
      </c>
      <c r="P35" s="111"/>
    </row>
    <row r="36" spans="1:16">
      <c r="A36" s="41"/>
      <c r="B36" s="365"/>
      <c r="C36" s="365"/>
      <c r="D36" s="366"/>
      <c r="E36" s="91"/>
      <c r="F36" s="107"/>
      <c r="G36" s="106">
        <f>3056/9</f>
        <v>339.55555555555554</v>
      </c>
      <c r="H36" s="349" t="s">
        <v>315</v>
      </c>
      <c r="K36" s="30"/>
      <c r="M36" s="363">
        <f t="shared" si="2"/>
        <v>2.5002699085E-2</v>
      </c>
      <c r="N36" s="110"/>
      <c r="O36" s="364">
        <f t="shared" si="1"/>
        <v>0.14142488888888888</v>
      </c>
      <c r="P36" s="111"/>
    </row>
    <row r="37" spans="1:16">
      <c r="A37" s="41"/>
      <c r="B37" s="365"/>
      <c r="C37" s="365"/>
      <c r="D37" s="366"/>
      <c r="E37" s="91"/>
      <c r="F37" s="107"/>
      <c r="G37" s="106">
        <f>800/9</f>
        <v>88.888888888888886</v>
      </c>
      <c r="H37" s="349" t="s">
        <v>316</v>
      </c>
      <c r="K37" s="30"/>
      <c r="M37" s="363">
        <f t="shared" si="2"/>
        <v>2.6719474600000005E-2</v>
      </c>
      <c r="N37" s="110"/>
      <c r="O37" s="364">
        <f t="shared" si="1"/>
        <v>3.702222222222222E-2</v>
      </c>
      <c r="P37" s="111"/>
    </row>
    <row r="38" spans="1:16">
      <c r="A38" s="41"/>
      <c r="B38" s="365"/>
      <c r="C38" s="365"/>
      <c r="D38" s="366"/>
      <c r="E38" s="91"/>
      <c r="F38" s="107"/>
      <c r="G38" s="106">
        <f>2378/9</f>
        <v>264.22222222222223</v>
      </c>
      <c r="H38" s="349" t="s">
        <v>317</v>
      </c>
      <c r="K38" s="30"/>
      <c r="M38" s="363">
        <f t="shared" si="2"/>
        <v>2.8155400000000001E-3</v>
      </c>
      <c r="N38" s="112"/>
      <c r="O38" s="364">
        <f t="shared" si="1"/>
        <v>0.11004855555555555</v>
      </c>
      <c r="P38" s="111"/>
    </row>
    <row r="39" spans="1:16">
      <c r="A39" s="41"/>
      <c r="B39" s="365"/>
      <c r="C39" s="365"/>
      <c r="D39" s="366"/>
      <c r="E39" s="91"/>
      <c r="F39" s="107"/>
      <c r="G39" s="106">
        <f>12139/9</f>
        <v>1348.7777777777778</v>
      </c>
      <c r="H39" s="349" t="s">
        <v>318</v>
      </c>
      <c r="K39" s="30"/>
      <c r="M39" s="363">
        <f t="shared" si="2"/>
        <v>1.0295879999999999E-3</v>
      </c>
      <c r="N39" s="110"/>
      <c r="O39" s="111">
        <f t="shared" si="1"/>
        <v>0.5617659444444445</v>
      </c>
      <c r="P39" s="111"/>
    </row>
    <row r="40" spans="1:16">
      <c r="A40" s="41"/>
      <c r="B40" s="365"/>
      <c r="C40" s="365"/>
      <c r="D40" s="366"/>
      <c r="E40" s="91"/>
      <c r="F40" s="107"/>
      <c r="G40" s="106">
        <f>881/9</f>
        <v>97.888888888888886</v>
      </c>
      <c r="H40" s="349" t="s">
        <v>319</v>
      </c>
      <c r="K40" s="30"/>
      <c r="M40" s="363">
        <f t="shared" si="2"/>
        <v>2.2244806849999999E-3</v>
      </c>
      <c r="N40" s="110"/>
      <c r="O40" s="111">
        <f t="shared" si="1"/>
        <v>4.0770722222222222E-2</v>
      </c>
      <c r="P40" s="111"/>
    </row>
    <row r="41" spans="1:16">
      <c r="A41" s="41"/>
      <c r="B41" s="365"/>
      <c r="C41" s="365"/>
      <c r="D41" s="366"/>
      <c r="E41" s="91"/>
      <c r="F41" s="107"/>
      <c r="G41" s="106">
        <f>841/9</f>
        <v>93.444444444444443</v>
      </c>
      <c r="H41" s="349" t="s">
        <v>320</v>
      </c>
      <c r="K41" s="30"/>
      <c r="M41" s="363">
        <f t="shared" si="2"/>
        <v>3.7926731570000004E-2</v>
      </c>
      <c r="N41" s="110"/>
      <c r="O41" s="111">
        <f t="shared" si="1"/>
        <v>3.8919611111111106E-2</v>
      </c>
      <c r="P41" s="111"/>
    </row>
    <row r="42" spans="1:16">
      <c r="A42" s="84"/>
      <c r="B42" s="365"/>
      <c r="C42" s="365"/>
      <c r="D42" s="366"/>
      <c r="E42" s="91"/>
      <c r="F42" s="107"/>
      <c r="G42" s="106">
        <f>782/9</f>
        <v>86.888888888888886</v>
      </c>
      <c r="H42" s="367" t="s">
        <v>321</v>
      </c>
      <c r="K42" s="30"/>
      <c r="M42" s="363">
        <f t="shared" si="2"/>
        <v>1.2984804E-3</v>
      </c>
      <c r="N42" s="110"/>
      <c r="O42" s="111">
        <f t="shared" si="1"/>
        <v>3.618922222222222E-2</v>
      </c>
      <c r="P42" s="111"/>
    </row>
    <row r="43" spans="1:16">
      <c r="A43" s="84"/>
      <c r="B43" s="365"/>
      <c r="C43" s="365"/>
      <c r="D43" s="366"/>
      <c r="E43" s="91"/>
      <c r="F43" s="107"/>
      <c r="G43" s="106">
        <f>6321/9</f>
        <v>702.33333333333337</v>
      </c>
      <c r="H43" s="367" t="s">
        <v>322</v>
      </c>
      <c r="K43" s="30"/>
      <c r="M43" s="363">
        <f t="shared" si="2"/>
        <v>2.3501428999999998E-3</v>
      </c>
      <c r="N43" s="110"/>
      <c r="O43" s="111">
        <f t="shared" si="1"/>
        <v>0.29252183333333331</v>
      </c>
      <c r="P43" s="111"/>
    </row>
    <row r="44" spans="1:16">
      <c r="A44" s="84"/>
      <c r="B44" s="23"/>
      <c r="C44" s="23"/>
      <c r="D44" s="77"/>
      <c r="E44" s="91"/>
      <c r="F44" s="107"/>
      <c r="G44" s="106">
        <f>3803/9</f>
        <v>422.55555555555554</v>
      </c>
      <c r="H44" s="368" t="s">
        <v>323</v>
      </c>
      <c r="K44" s="30"/>
      <c r="M44" s="363">
        <f t="shared" si="2"/>
        <v>3.0702759814999998E-2</v>
      </c>
      <c r="N44" s="110"/>
      <c r="O44" s="111">
        <f t="shared" si="1"/>
        <v>0.17599438888888888</v>
      </c>
      <c r="P44" s="111"/>
    </row>
    <row r="45" spans="1:16">
      <c r="A45" s="84"/>
      <c r="B45" s="23"/>
      <c r="C45" s="23"/>
      <c r="D45" s="77"/>
      <c r="E45" s="92"/>
      <c r="F45" s="109"/>
      <c r="G45" s="106">
        <f>780/9</f>
        <v>86.666666666666671</v>
      </c>
      <c r="H45" s="369" t="s">
        <v>324</v>
      </c>
      <c r="I45" s="8"/>
      <c r="J45" s="8"/>
      <c r="K45" s="40"/>
      <c r="M45" s="363">
        <f t="shared" si="2"/>
        <v>2.1176525999999996E-3</v>
      </c>
      <c r="N45" s="110"/>
      <c r="O45" s="111">
        <f t="shared" si="1"/>
        <v>3.6096666666666666E-2</v>
      </c>
      <c r="P45" s="111"/>
    </row>
    <row r="46" spans="1:16" ht="13.9" thickBot="1">
      <c r="A46" s="69"/>
      <c r="B46" s="87"/>
      <c r="C46" s="87"/>
      <c r="D46" s="99"/>
      <c r="E46" s="82"/>
      <c r="F46" s="82"/>
      <c r="G46" s="64"/>
      <c r="H46" s="57"/>
      <c r="I46" s="57"/>
      <c r="J46" s="57"/>
      <c r="K46" s="70"/>
      <c r="M46" s="363">
        <f t="shared" si="2"/>
        <v>2.33902235E-3</v>
      </c>
      <c r="N46" s="110"/>
      <c r="O46" s="111"/>
      <c r="P46" s="111"/>
    </row>
    <row r="47" spans="1:16" ht="13.9" thickTop="1">
      <c r="A47" s="31"/>
      <c r="D47" s="98"/>
      <c r="E47" s="1"/>
      <c r="F47" s="75" t="s">
        <v>180</v>
      </c>
      <c r="G47" s="63">
        <f>SUM(G11:G28,G31:G45)</f>
        <v>7258.6763699999992</v>
      </c>
      <c r="H47" s="16"/>
      <c r="J47" s="63">
        <f>ROUNDUP(G47*0.0004165,0)</f>
        <v>4</v>
      </c>
      <c r="K47" s="71" t="s">
        <v>79</v>
      </c>
      <c r="M47" s="363">
        <f t="shared" si="2"/>
        <v>1.6056320735000001E-2</v>
      </c>
      <c r="N47" s="361"/>
      <c r="O47" s="111">
        <f>SUM(O31:O45)</f>
        <v>2.7330730000000001</v>
      </c>
      <c r="P47" s="111"/>
    </row>
    <row r="48" spans="1:16" ht="13.9" thickBot="1">
      <c r="A48" s="42"/>
      <c r="B48" s="43"/>
      <c r="C48" s="43"/>
      <c r="D48" s="43"/>
      <c r="E48" s="43"/>
      <c r="F48" s="44"/>
      <c r="G48" s="72"/>
      <c r="H48" s="73"/>
      <c r="I48" s="72"/>
      <c r="J48" s="73"/>
      <c r="K48" s="74"/>
      <c r="M48" s="363">
        <f t="shared" si="2"/>
        <v>4.5696214200000002E-2</v>
      </c>
      <c r="N48" s="110"/>
      <c r="O48" s="98"/>
      <c r="P48" s="111"/>
    </row>
    <row r="49" spans="1:16">
      <c r="A49" s="85" t="s">
        <v>256</v>
      </c>
      <c r="M49" s="131"/>
      <c r="N49" s="110"/>
      <c r="O49" s="98"/>
      <c r="P49" s="111"/>
    </row>
    <row r="50" spans="1:16">
      <c r="A50" s="349" t="s">
        <v>325</v>
      </c>
      <c r="M50" s="363">
        <f>SUM(M31:M48)</f>
        <v>0.29016570810499998</v>
      </c>
      <c r="N50" s="110"/>
      <c r="O50" s="98"/>
      <c r="P50" s="111"/>
    </row>
    <row r="51" spans="1:16">
      <c r="A51" t="s">
        <v>326</v>
      </c>
      <c r="M51" s="110"/>
      <c r="N51" s="110"/>
      <c r="O51" s="98"/>
      <c r="P51" s="111"/>
    </row>
    <row r="52" spans="1:16">
      <c r="M52" s="110"/>
      <c r="N52" s="110"/>
      <c r="O52" s="98"/>
      <c r="P52" s="111"/>
    </row>
    <row r="53" spans="1:16">
      <c r="M53" s="110"/>
      <c r="N53" s="110"/>
      <c r="O53" s="98"/>
      <c r="P53" s="111"/>
    </row>
    <row r="54" spans="1:16">
      <c r="M54" s="110"/>
      <c r="N54" s="110"/>
      <c r="O54" s="98"/>
      <c r="P54" s="111"/>
    </row>
    <row r="55" spans="1:16" ht="13.9" thickBot="1">
      <c r="A55" s="1" t="s">
        <v>327</v>
      </c>
      <c r="B55" s="1"/>
      <c r="C55" s="1"/>
      <c r="M55" s="110"/>
      <c r="N55" s="110"/>
      <c r="O55" s="98"/>
      <c r="P55" s="111"/>
    </row>
    <row r="56" spans="1:16">
      <c r="A56" s="491" t="s">
        <v>7</v>
      </c>
      <c r="B56" s="492"/>
      <c r="C56" s="492"/>
      <c r="D56" s="493"/>
      <c r="E56" s="492" t="s">
        <v>8</v>
      </c>
      <c r="F56" s="492"/>
      <c r="G56" s="493"/>
      <c r="H56" s="134"/>
      <c r="I56" s="135"/>
      <c r="J56" s="135"/>
      <c r="K56" s="136"/>
      <c r="M56" s="110"/>
      <c r="N56" s="110"/>
      <c r="O56" s="98"/>
      <c r="P56" s="111"/>
    </row>
    <row r="57" spans="1:16" ht="13.9" thickBot="1">
      <c r="A57" s="483">
        <v>374002</v>
      </c>
      <c r="B57" s="484"/>
      <c r="C57" s="484"/>
      <c r="D57" s="485"/>
      <c r="E57" s="484" t="s">
        <v>261</v>
      </c>
      <c r="F57" s="484"/>
      <c r="G57" s="485"/>
      <c r="H57" s="13"/>
      <c r="I57" s="12"/>
      <c r="J57" s="12"/>
      <c r="K57" s="37"/>
      <c r="M57" s="110"/>
      <c r="N57" s="110"/>
      <c r="O57" s="98"/>
      <c r="P57" s="111"/>
    </row>
    <row r="58" spans="1:16" ht="13.9" thickTop="1">
      <c r="A58" s="486" t="s">
        <v>11</v>
      </c>
      <c r="B58" s="487"/>
      <c r="C58" s="487"/>
      <c r="D58" s="488"/>
      <c r="E58" s="58" t="s">
        <v>262</v>
      </c>
      <c r="F58" s="59" t="s">
        <v>263</v>
      </c>
      <c r="G58" s="58" t="s">
        <v>264</v>
      </c>
      <c r="H58" s="479" t="s">
        <v>8</v>
      </c>
      <c r="I58" s="528"/>
      <c r="J58" s="528"/>
      <c r="K58" s="529"/>
      <c r="M58" s="110"/>
      <c r="N58" s="110"/>
      <c r="O58" s="98"/>
      <c r="P58" s="111"/>
    </row>
    <row r="59" spans="1:16">
      <c r="A59" s="39" t="s">
        <v>247</v>
      </c>
      <c r="B59" s="22" t="s">
        <v>266</v>
      </c>
      <c r="C59" s="22" t="s">
        <v>266</v>
      </c>
      <c r="D59" s="22" t="s">
        <v>267</v>
      </c>
      <c r="E59" s="81" t="s">
        <v>268</v>
      </c>
      <c r="F59" s="22" t="s">
        <v>14</v>
      </c>
      <c r="G59" s="48" t="s">
        <v>269</v>
      </c>
      <c r="H59" s="9"/>
      <c r="I59" s="8"/>
      <c r="J59" s="8"/>
      <c r="K59" s="40"/>
      <c r="M59" s="110"/>
      <c r="N59" s="110"/>
      <c r="O59" s="98"/>
      <c r="P59" s="111"/>
    </row>
    <row r="60" spans="1:16">
      <c r="A60" s="346" t="s">
        <v>328</v>
      </c>
      <c r="B60" s="347" t="s">
        <v>329</v>
      </c>
      <c r="C60" s="347" t="s">
        <v>330</v>
      </c>
      <c r="D60" s="347" t="s">
        <v>331</v>
      </c>
      <c r="E60" s="22">
        <v>0.17100000000000001</v>
      </c>
      <c r="F60" s="105">
        <v>155.30000000000001</v>
      </c>
      <c r="G60" s="83">
        <f>F60*E60</f>
        <v>26.556300000000004</v>
      </c>
      <c r="H60" s="349" t="s">
        <v>332</v>
      </c>
      <c r="K60" s="30"/>
      <c r="M60" s="133">
        <f>(0.833*G60)/2000</f>
        <v>1.1060698950000001E-2</v>
      </c>
      <c r="N60" s="110"/>
      <c r="O60" s="98"/>
      <c r="P60" s="111"/>
    </row>
    <row r="61" spans="1:16">
      <c r="A61" s="346" t="s">
        <v>333</v>
      </c>
      <c r="B61" s="347" t="s">
        <v>334</v>
      </c>
      <c r="C61" s="347" t="s">
        <v>335</v>
      </c>
      <c r="D61" s="347" t="s">
        <v>336</v>
      </c>
      <c r="E61" s="22">
        <v>0.16900000000000001</v>
      </c>
      <c r="F61" s="105">
        <v>93.9</v>
      </c>
      <c r="G61" s="83">
        <f>F61*E61</f>
        <v>15.869100000000001</v>
      </c>
      <c r="H61" s="349" t="s">
        <v>337</v>
      </c>
      <c r="K61" s="30"/>
      <c r="M61" s="133">
        <f>(0.833*G61)/2000</f>
        <v>6.6094801500000003E-3</v>
      </c>
      <c r="N61" s="110"/>
      <c r="O61" s="98"/>
      <c r="P61" s="111"/>
    </row>
    <row r="62" spans="1:16">
      <c r="A62" s="346" t="s">
        <v>338</v>
      </c>
      <c r="B62" s="347" t="s">
        <v>339</v>
      </c>
      <c r="C62" s="347" t="s">
        <v>340</v>
      </c>
      <c r="D62" s="347" t="s">
        <v>331</v>
      </c>
      <c r="E62" s="22">
        <v>0.17100000000000001</v>
      </c>
      <c r="F62" s="105">
        <v>9.3000000000000007</v>
      </c>
      <c r="G62" s="83">
        <f>F62*E62</f>
        <v>1.5903000000000003</v>
      </c>
      <c r="H62" s="349" t="s">
        <v>332</v>
      </c>
      <c r="K62" s="30"/>
      <c r="M62" s="133">
        <f>(0.833*G62)/2000</f>
        <v>6.6235995000000006E-4</v>
      </c>
    </row>
    <row r="63" spans="1:16">
      <c r="A63" s="346" t="s">
        <v>338</v>
      </c>
      <c r="B63" s="347" t="s">
        <v>341</v>
      </c>
      <c r="C63" s="347" t="s">
        <v>342</v>
      </c>
      <c r="D63" s="347" t="s">
        <v>331</v>
      </c>
      <c r="E63" s="22">
        <v>0.17100000000000001</v>
      </c>
      <c r="F63" s="105">
        <v>7.3</v>
      </c>
      <c r="G63" s="83">
        <f>F63*E63</f>
        <v>1.2483</v>
      </c>
      <c r="H63" s="349" t="s">
        <v>332</v>
      </c>
      <c r="K63" s="30"/>
      <c r="M63" s="133">
        <f>(0.833*G63)/2000</f>
        <v>5.1991694999999993E-4</v>
      </c>
    </row>
    <row r="64" spans="1:16">
      <c r="A64" s="370" t="s">
        <v>338</v>
      </c>
      <c r="B64" s="371" t="s">
        <v>343</v>
      </c>
      <c r="C64" s="371" t="s">
        <v>344</v>
      </c>
      <c r="D64" s="371" t="s">
        <v>345</v>
      </c>
      <c r="E64" s="108">
        <v>0.17100000000000001</v>
      </c>
      <c r="F64" s="138">
        <v>239.1</v>
      </c>
      <c r="G64" s="125">
        <f>F64*E64</f>
        <v>40.886099999999999</v>
      </c>
      <c r="H64" s="349" t="s">
        <v>332</v>
      </c>
      <c r="K64" s="30"/>
      <c r="M64" s="133">
        <f>(0.833*G64)/2000</f>
        <v>1.7029060649999997E-2</v>
      </c>
    </row>
    <row r="65" spans="1:13" ht="13.9" thickBot="1">
      <c r="A65" s="372"/>
      <c r="B65" s="373"/>
      <c r="C65" s="373"/>
      <c r="D65" s="373"/>
      <c r="E65" s="132"/>
      <c r="F65" s="139"/>
      <c r="G65" s="140"/>
      <c r="H65" s="374"/>
      <c r="I65" s="129"/>
      <c r="J65" s="129"/>
      <c r="K65" s="130"/>
      <c r="M65" s="133">
        <f>(0.833*G66)/2000</f>
        <v>3.588151665E-2</v>
      </c>
    </row>
    <row r="66" spans="1:13" ht="13.9" thickTop="1">
      <c r="A66" s="29"/>
      <c r="F66" s="1" t="s">
        <v>180</v>
      </c>
      <c r="G66" s="63">
        <f>SUM(G60:G64)</f>
        <v>86.150100000000009</v>
      </c>
      <c r="H66" s="15"/>
      <c r="I66" s="15"/>
      <c r="J66" s="102">
        <f>G66*0.0004165</f>
        <v>3.588151665E-2</v>
      </c>
      <c r="K66" s="71" t="s">
        <v>79</v>
      </c>
    </row>
    <row r="67" spans="1:13" ht="13.9" thickBo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137"/>
    </row>
  </sheetData>
  <mergeCells count="15">
    <mergeCell ref="H58:K58"/>
    <mergeCell ref="N15:P17"/>
    <mergeCell ref="A7:D7"/>
    <mergeCell ref="E7:G7"/>
    <mergeCell ref="A8:D8"/>
    <mergeCell ref="E8:G8"/>
    <mergeCell ref="A29:D29"/>
    <mergeCell ref="H29:K29"/>
    <mergeCell ref="A9:D9"/>
    <mergeCell ref="H9:K9"/>
    <mergeCell ref="A56:D56"/>
    <mergeCell ref="E56:G56"/>
    <mergeCell ref="A57:D57"/>
    <mergeCell ref="E57:G57"/>
    <mergeCell ref="A58:D58"/>
  </mergeCells>
  <phoneticPr fontId="0" type="noConversion"/>
  <pageMargins left="0.75" right="0.75" top="1" bottom="1" header="0.5" footer="0.5"/>
  <pageSetup scale="58" fitToHeight="0" orientation="portrait" horizontalDpi="4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D181-2E12-42A8-AF5E-7F17C86D89F4}">
  <sheetPr codeName="Sheet56">
    <pageSetUpPr fitToPage="1"/>
  </sheetPr>
  <dimension ref="A1:M39"/>
  <sheetViews>
    <sheetView workbookViewId="0">
      <selection activeCell="E56" sqref="E56"/>
    </sheetView>
  </sheetViews>
  <sheetFormatPr defaultRowHeight="13.15"/>
  <cols>
    <col min="1" max="1" width="10.42578125" customWidth="1"/>
    <col min="6" max="6" width="16.85546875" customWidth="1"/>
    <col min="7" max="7" width="18.7109375" customWidth="1"/>
    <col min="8" max="8" width="16.28515625" customWidth="1"/>
    <col min="9" max="9" width="13" customWidth="1"/>
    <col min="10" max="10" width="12" customWidth="1"/>
  </cols>
  <sheetData>
    <row r="1" spans="1:13" ht="15.6">
      <c r="A1" s="25" t="s">
        <v>0</v>
      </c>
      <c r="B1" s="26"/>
      <c r="C1" s="26"/>
      <c r="D1" s="26"/>
      <c r="E1" s="27"/>
      <c r="F1" s="27"/>
      <c r="G1" s="27"/>
      <c r="H1" s="27"/>
      <c r="I1" s="27"/>
      <c r="J1" s="26" t="s">
        <v>1</v>
      </c>
      <c r="K1" s="27"/>
      <c r="L1" s="27"/>
      <c r="M1" s="28"/>
    </row>
    <row r="2" spans="1:13">
      <c r="A2" s="29"/>
      <c r="M2" s="30"/>
    </row>
    <row r="3" spans="1:13">
      <c r="A3" s="31" t="s">
        <v>2</v>
      </c>
      <c r="B3" t="str">
        <f>'Line Items'!B1</f>
        <v>SDYS - Green Stormwater Demonstration</v>
      </c>
      <c r="C3" s="1"/>
      <c r="J3" s="1" t="s">
        <v>3</v>
      </c>
      <c r="K3" s="342" t="s">
        <v>258</v>
      </c>
      <c r="L3" s="1" t="s">
        <v>4</v>
      </c>
      <c r="M3" s="32">
        <v>41907</v>
      </c>
    </row>
    <row r="4" spans="1:13">
      <c r="A4" s="31" t="s">
        <v>5</v>
      </c>
      <c r="B4" s="1"/>
      <c r="C4" s="1"/>
      <c r="J4" s="1" t="s">
        <v>6</v>
      </c>
      <c r="K4" s="343" t="s">
        <v>259</v>
      </c>
      <c r="L4" s="1" t="s">
        <v>4</v>
      </c>
      <c r="M4" s="32">
        <v>41908</v>
      </c>
    </row>
    <row r="5" spans="1:13">
      <c r="A5" s="31"/>
      <c r="B5" s="1"/>
      <c r="C5" s="1"/>
      <c r="D5" s="1"/>
      <c r="J5" s="1"/>
      <c r="L5" s="1"/>
      <c r="M5" s="33"/>
    </row>
    <row r="6" spans="1:13">
      <c r="A6" s="29"/>
      <c r="J6" s="1"/>
      <c r="L6" s="1"/>
      <c r="M6" s="30"/>
    </row>
    <row r="7" spans="1:13">
      <c r="A7" s="34" t="s">
        <v>7</v>
      </c>
      <c r="B7" s="17"/>
      <c r="C7" s="17"/>
      <c r="D7" s="18"/>
      <c r="E7" s="19" t="s">
        <v>8</v>
      </c>
      <c r="F7" s="20"/>
      <c r="G7" s="20"/>
      <c r="H7" s="20"/>
      <c r="I7" s="20"/>
      <c r="J7" s="21"/>
      <c r="K7" s="20"/>
      <c r="L7" s="20"/>
      <c r="M7" s="35"/>
    </row>
    <row r="8" spans="1:13" ht="13.9" thickBot="1">
      <c r="A8" s="36"/>
      <c r="B8" s="10"/>
      <c r="C8" s="10"/>
      <c r="D8" s="52"/>
      <c r="E8" s="350" t="s">
        <v>346</v>
      </c>
      <c r="F8" s="12"/>
      <c r="G8" s="12"/>
      <c r="H8" s="12"/>
      <c r="I8" s="12"/>
      <c r="J8" s="13"/>
      <c r="K8" s="12"/>
      <c r="L8" s="12"/>
      <c r="M8" s="37"/>
    </row>
    <row r="9" spans="1:13" ht="14.45" thickTop="1" thickBot="1">
      <c r="A9" s="38"/>
      <c r="B9" s="15"/>
      <c r="C9" s="50"/>
      <c r="D9" s="55"/>
      <c r="E9" s="56"/>
      <c r="I9" s="115"/>
      <c r="J9" s="115"/>
      <c r="K9" s="115"/>
      <c r="L9" s="115"/>
      <c r="M9" s="116"/>
    </row>
    <row r="10" spans="1:13" ht="12.75" customHeight="1">
      <c r="A10" s="494" t="s">
        <v>347</v>
      </c>
      <c r="B10" s="506" t="s">
        <v>247</v>
      </c>
      <c r="C10" s="509" t="s">
        <v>11</v>
      </c>
      <c r="D10" s="509"/>
      <c r="E10" s="499" t="s">
        <v>348</v>
      </c>
      <c r="F10" s="501" t="s">
        <v>349</v>
      </c>
      <c r="G10" s="501" t="s">
        <v>350</v>
      </c>
      <c r="H10" s="511" t="s">
        <v>351</v>
      </c>
      <c r="I10" s="512"/>
      <c r="J10" s="1"/>
      <c r="M10" s="30"/>
    </row>
    <row r="11" spans="1:13">
      <c r="A11" s="495"/>
      <c r="B11" s="391"/>
      <c r="C11" s="496" t="s">
        <v>249</v>
      </c>
      <c r="D11" s="498" t="s">
        <v>249</v>
      </c>
      <c r="E11" s="500"/>
      <c r="F11" s="502"/>
      <c r="G11" s="502"/>
      <c r="H11" s="513"/>
      <c r="I11" s="514"/>
      <c r="M11" s="30"/>
    </row>
    <row r="12" spans="1:13">
      <c r="A12" s="495"/>
      <c r="B12" s="391"/>
      <c r="C12" s="497"/>
      <c r="D12" s="498"/>
      <c r="E12" s="500"/>
      <c r="F12" s="502"/>
      <c r="G12" s="502"/>
      <c r="H12" s="507" t="s">
        <v>352</v>
      </c>
      <c r="I12" s="508"/>
      <c r="M12" s="30"/>
    </row>
    <row r="13" spans="1:13">
      <c r="A13" s="495"/>
      <c r="B13" s="391"/>
      <c r="C13" s="497"/>
      <c r="D13" s="498"/>
      <c r="E13" s="500"/>
      <c r="F13" s="503"/>
      <c r="G13" s="503"/>
      <c r="H13" s="146" t="s">
        <v>353</v>
      </c>
      <c r="I13" s="147" t="s">
        <v>354</v>
      </c>
      <c r="M13" s="30"/>
    </row>
    <row r="14" spans="1:13" ht="13.9" thickBot="1">
      <c r="A14" s="495"/>
      <c r="B14" s="391"/>
      <c r="C14" s="388"/>
      <c r="D14" s="498"/>
      <c r="E14" s="500"/>
      <c r="F14" s="375" t="s">
        <v>355</v>
      </c>
      <c r="G14" s="375" t="s">
        <v>355</v>
      </c>
      <c r="H14" s="504" t="s">
        <v>356</v>
      </c>
      <c r="I14" s="505"/>
      <c r="M14" s="30"/>
    </row>
    <row r="15" spans="1:13">
      <c r="A15" s="346" t="s">
        <v>357</v>
      </c>
      <c r="B15" s="347" t="s">
        <v>358</v>
      </c>
      <c r="C15" s="347" t="s">
        <v>359</v>
      </c>
      <c r="D15" s="22"/>
      <c r="E15" s="347" t="s">
        <v>360</v>
      </c>
      <c r="F15" s="376" t="s">
        <v>361</v>
      </c>
      <c r="G15" s="377" t="s">
        <v>362</v>
      </c>
      <c r="H15" s="149">
        <v>40</v>
      </c>
      <c r="I15" s="150"/>
      <c r="M15" s="30"/>
    </row>
    <row r="16" spans="1:13">
      <c r="A16" s="346" t="s">
        <v>357</v>
      </c>
      <c r="B16" s="347" t="s">
        <v>338</v>
      </c>
      <c r="C16" s="347" t="s">
        <v>363</v>
      </c>
      <c r="D16" s="22"/>
      <c r="E16" s="347" t="s">
        <v>360</v>
      </c>
      <c r="F16" s="378" t="s">
        <v>361</v>
      </c>
      <c r="G16" s="379" t="s">
        <v>364</v>
      </c>
      <c r="H16" s="347" t="s">
        <v>365</v>
      </c>
      <c r="I16" s="122">
        <v>132</v>
      </c>
      <c r="M16" s="30"/>
    </row>
    <row r="17" spans="1:13">
      <c r="A17" s="346" t="s">
        <v>357</v>
      </c>
      <c r="B17" s="347" t="s">
        <v>366</v>
      </c>
      <c r="C17" s="347" t="s">
        <v>367</v>
      </c>
      <c r="D17" s="22"/>
      <c r="E17" s="347" t="s">
        <v>360</v>
      </c>
      <c r="F17" s="378" t="s">
        <v>361</v>
      </c>
      <c r="G17" s="379" t="s">
        <v>362</v>
      </c>
      <c r="H17" s="144">
        <v>44</v>
      </c>
      <c r="I17" s="122"/>
      <c r="M17" s="30"/>
    </row>
    <row r="18" spans="1:13">
      <c r="A18" s="346" t="s">
        <v>357</v>
      </c>
      <c r="B18" s="347" t="s">
        <v>366</v>
      </c>
      <c r="C18" s="347" t="s">
        <v>368</v>
      </c>
      <c r="D18" s="22"/>
      <c r="E18" s="347" t="s">
        <v>360</v>
      </c>
      <c r="F18" s="378" t="s">
        <v>361</v>
      </c>
      <c r="G18" s="379" t="s">
        <v>362</v>
      </c>
      <c r="H18" s="144">
        <v>121</v>
      </c>
      <c r="I18" s="122"/>
      <c r="M18" s="30"/>
    </row>
    <row r="19" spans="1:13">
      <c r="A19" s="346" t="s">
        <v>357</v>
      </c>
      <c r="B19" s="347" t="s">
        <v>369</v>
      </c>
      <c r="C19" s="347" t="s">
        <v>370</v>
      </c>
      <c r="D19" s="22"/>
      <c r="E19" s="347" t="s">
        <v>360</v>
      </c>
      <c r="F19" s="378" t="s">
        <v>361</v>
      </c>
      <c r="G19" s="379" t="s">
        <v>362</v>
      </c>
      <c r="H19" s="141">
        <v>60</v>
      </c>
      <c r="I19" s="128"/>
      <c r="M19" s="30"/>
    </row>
    <row r="20" spans="1:13">
      <c r="A20" s="41"/>
      <c r="B20" s="22"/>
      <c r="C20" s="22"/>
      <c r="D20" s="22"/>
      <c r="E20" s="22"/>
      <c r="F20" s="125"/>
      <c r="G20" s="114"/>
      <c r="H20" s="141"/>
      <c r="I20" s="128"/>
      <c r="M20" s="30"/>
    </row>
    <row r="21" spans="1:13">
      <c r="A21" s="41"/>
      <c r="B21" s="81"/>
      <c r="C21" s="347"/>
      <c r="D21" s="22"/>
      <c r="E21" s="22"/>
      <c r="F21" s="125"/>
      <c r="G21" s="114"/>
      <c r="H21" s="141"/>
      <c r="I21" s="128"/>
      <c r="M21" s="30"/>
    </row>
    <row r="22" spans="1:13" ht="13.9" thickBot="1">
      <c r="A22" s="117"/>
      <c r="B22" s="148"/>
      <c r="C22" s="380"/>
      <c r="D22" s="118"/>
      <c r="E22" s="118"/>
      <c r="F22" s="126"/>
      <c r="G22" s="126"/>
      <c r="H22" s="151"/>
      <c r="I22" s="152"/>
      <c r="J22" s="57"/>
      <c r="K22" s="57"/>
      <c r="L22" s="57"/>
      <c r="M22" s="70"/>
    </row>
    <row r="23" spans="1:13">
      <c r="A23" s="29"/>
      <c r="C23" s="110"/>
      <c r="D23" s="510" t="s">
        <v>16</v>
      </c>
      <c r="E23" s="510"/>
      <c r="F23" s="63">
        <f>SUM(F15:F22)</f>
        <v>0</v>
      </c>
      <c r="G23" s="63">
        <f>SUM(G15:G22)</f>
        <v>0</v>
      </c>
      <c r="H23" s="142">
        <f>SUM(H15:H22)</f>
        <v>265</v>
      </c>
      <c r="I23" s="16">
        <f>SUM(I15:I22)</f>
        <v>132</v>
      </c>
      <c r="J23" s="1"/>
      <c r="K23" s="1"/>
      <c r="L23" s="16"/>
      <c r="M23" s="71"/>
    </row>
    <row r="24" spans="1:13" ht="13.9" thickBot="1">
      <c r="A24" s="42"/>
      <c r="B24" s="43"/>
      <c r="C24" s="43"/>
      <c r="D24" s="43"/>
      <c r="E24" s="86" t="s">
        <v>371</v>
      </c>
      <c r="F24" s="72">
        <f>ROUNDUP(F23,0)</f>
        <v>0</v>
      </c>
      <c r="G24" s="72">
        <f>ROUNDUP(G23,0)</f>
        <v>0</v>
      </c>
      <c r="H24" s="143">
        <f>H23</f>
        <v>265</v>
      </c>
      <c r="I24" s="73">
        <f>I23</f>
        <v>132</v>
      </c>
      <c r="J24" s="44"/>
      <c r="K24" s="45"/>
      <c r="L24" s="46"/>
      <c r="M24" s="47"/>
    </row>
    <row r="25" spans="1:13">
      <c r="A25" s="85" t="s">
        <v>256</v>
      </c>
      <c r="B25" s="85"/>
    </row>
    <row r="26" spans="1:13">
      <c r="A26" s="349" t="s">
        <v>325</v>
      </c>
      <c r="B26" s="349"/>
    </row>
    <row r="39" spans="12:12">
      <c r="L39" s="145"/>
    </row>
  </sheetData>
  <mergeCells count="12">
    <mergeCell ref="H14:I14"/>
    <mergeCell ref="B10:B14"/>
    <mergeCell ref="H12:I12"/>
    <mergeCell ref="C10:D10"/>
    <mergeCell ref="D23:E23"/>
    <mergeCell ref="H10:I11"/>
    <mergeCell ref="G10:G13"/>
    <mergeCell ref="A10:A14"/>
    <mergeCell ref="C11:C14"/>
    <mergeCell ref="D11:D14"/>
    <mergeCell ref="E10:E14"/>
    <mergeCell ref="F10:F13"/>
  </mergeCells>
  <pageMargins left="0.7" right="0.7" top="0.75" bottom="0.75" header="0.3" footer="0.3"/>
  <pageSetup scale="6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394A5-991B-487D-AB50-F65739CE0108}">
  <sheetPr codeName="Sheet57">
    <pageSetUpPr fitToPage="1"/>
  </sheetPr>
  <dimension ref="A1:K28"/>
  <sheetViews>
    <sheetView workbookViewId="0">
      <selection activeCell="E7" sqref="E7:G7"/>
    </sheetView>
  </sheetViews>
  <sheetFormatPr defaultRowHeight="13.15"/>
  <cols>
    <col min="1" max="1" width="11.140625" customWidth="1"/>
    <col min="8" max="8" width="14.140625" customWidth="1"/>
  </cols>
  <sheetData>
    <row r="1" spans="1:11" ht="15.6">
      <c r="A1" s="66"/>
      <c r="G1" s="3"/>
      <c r="K1" s="30"/>
    </row>
    <row r="2" spans="1:11">
      <c r="A2" s="31" t="s">
        <v>2</v>
      </c>
      <c r="B2" s="1" t="str">
        <f>'Line Items'!B1</f>
        <v>SDYS - Green Stormwater Demonstration</v>
      </c>
      <c r="H2" s="1" t="s">
        <v>3</v>
      </c>
      <c r="I2" s="342" t="s">
        <v>258</v>
      </c>
      <c r="J2" s="1" t="s">
        <v>4</v>
      </c>
      <c r="K2" s="32">
        <v>41907</v>
      </c>
    </row>
    <row r="3" spans="1:11">
      <c r="A3" s="31" t="s">
        <v>5</v>
      </c>
      <c r="B3" s="1"/>
      <c r="H3" s="1" t="s">
        <v>6</v>
      </c>
      <c r="I3" s="343" t="s">
        <v>259</v>
      </c>
      <c r="J3" s="1" t="s">
        <v>4</v>
      </c>
      <c r="K3" s="32">
        <v>41908</v>
      </c>
    </row>
    <row r="4" spans="1:11">
      <c r="A4" s="31"/>
      <c r="B4" s="1"/>
      <c r="C4" s="1"/>
      <c r="D4" s="1"/>
      <c r="H4" s="1"/>
      <c r="J4" s="1"/>
      <c r="K4" s="33"/>
    </row>
    <row r="5" spans="1:11">
      <c r="A5" s="29"/>
      <c r="K5" s="30"/>
    </row>
    <row r="6" spans="1:11">
      <c r="A6" s="481" t="s">
        <v>7</v>
      </c>
      <c r="B6" s="482"/>
      <c r="C6" s="482"/>
      <c r="D6" s="476"/>
      <c r="E6" s="482" t="s">
        <v>8</v>
      </c>
      <c r="F6" s="482"/>
      <c r="G6" s="476"/>
      <c r="H6" s="21"/>
      <c r="I6" s="20"/>
      <c r="J6" s="20"/>
      <c r="K6" s="35"/>
    </row>
    <row r="7" spans="1:11" ht="13.9" thickBot="1">
      <c r="A7" s="483"/>
      <c r="B7" s="484"/>
      <c r="C7" s="484"/>
      <c r="D7" s="485"/>
      <c r="E7" s="515" t="s">
        <v>372</v>
      </c>
      <c r="F7" s="484"/>
      <c r="G7" s="485"/>
      <c r="H7" s="13"/>
      <c r="I7" s="12"/>
      <c r="J7" s="12"/>
      <c r="K7" s="37"/>
    </row>
    <row r="8" spans="1:11" ht="13.9" thickTop="1">
      <c r="A8" s="486" t="s">
        <v>11</v>
      </c>
      <c r="B8" s="487"/>
      <c r="C8" s="487"/>
      <c r="D8" s="488"/>
      <c r="E8" s="489" t="s">
        <v>373</v>
      </c>
      <c r="F8" s="487"/>
      <c r="G8" s="488"/>
      <c r="H8" s="479" t="s">
        <v>8</v>
      </c>
      <c r="I8" s="528"/>
      <c r="J8" s="528"/>
      <c r="K8" s="529"/>
    </row>
    <row r="9" spans="1:11">
      <c r="A9" s="39" t="s">
        <v>247</v>
      </c>
      <c r="B9" s="22" t="s">
        <v>266</v>
      </c>
      <c r="C9" s="22" t="s">
        <v>266</v>
      </c>
      <c r="D9" s="22" t="s">
        <v>267</v>
      </c>
      <c r="E9" s="522" t="s">
        <v>374</v>
      </c>
      <c r="F9" s="523"/>
      <c r="G9" s="524"/>
      <c r="H9" s="9"/>
      <c r="I9" s="8"/>
      <c r="J9" s="8"/>
      <c r="K9" s="40"/>
    </row>
    <row r="10" spans="1:11">
      <c r="A10" s="381" t="s">
        <v>358</v>
      </c>
      <c r="B10" s="351" t="s">
        <v>375</v>
      </c>
      <c r="C10" s="351" t="s">
        <v>365</v>
      </c>
      <c r="D10" s="351" t="s">
        <v>274</v>
      </c>
      <c r="E10" s="525">
        <v>6810</v>
      </c>
      <c r="F10" s="526"/>
      <c r="G10" s="527"/>
      <c r="H10" s="382"/>
      <c r="I10" s="60"/>
      <c r="J10" s="60"/>
      <c r="K10" s="67"/>
    </row>
    <row r="11" spans="1:11">
      <c r="A11" s="381" t="s">
        <v>369</v>
      </c>
      <c r="B11" s="347" t="s">
        <v>376</v>
      </c>
      <c r="C11" s="347" t="s">
        <v>365</v>
      </c>
      <c r="D11" s="347" t="s">
        <v>278</v>
      </c>
      <c r="E11" s="525">
        <v>1270</v>
      </c>
      <c r="F11" s="526"/>
      <c r="G11" s="527"/>
      <c r="H11" s="368"/>
      <c r="I11" s="62"/>
      <c r="J11" s="62"/>
      <c r="K11" s="68"/>
    </row>
    <row r="12" spans="1:11" ht="13.9" thickBot="1">
      <c r="A12" s="519" t="s">
        <v>377</v>
      </c>
      <c r="B12" s="520"/>
      <c r="C12" s="520"/>
      <c r="D12" s="521"/>
      <c r="E12" s="516">
        <v>6048</v>
      </c>
      <c r="F12" s="517"/>
      <c r="G12" s="518"/>
      <c r="H12" s="383"/>
      <c r="I12" s="57"/>
      <c r="J12" s="57"/>
      <c r="K12" s="70"/>
    </row>
    <row r="13" spans="1:11" ht="13.9" thickTop="1">
      <c r="A13" s="31"/>
      <c r="E13" s="1" t="s">
        <v>180</v>
      </c>
      <c r="F13" s="75">
        <f>SUM(E10:G12)</f>
        <v>14128</v>
      </c>
      <c r="G13" s="63" t="s">
        <v>14</v>
      </c>
      <c r="H13" s="16"/>
      <c r="J13" s="63"/>
      <c r="K13" s="71"/>
    </row>
    <row r="14" spans="1:11" ht="13.9" thickBot="1">
      <c r="A14" s="42"/>
      <c r="B14" s="43"/>
      <c r="C14" s="43"/>
      <c r="D14" s="43"/>
      <c r="E14" s="44" t="s">
        <v>17</v>
      </c>
      <c r="F14" s="127">
        <f>ROUNDUP(F13,0)</f>
        <v>14128</v>
      </c>
      <c r="G14" s="72" t="s">
        <v>14</v>
      </c>
      <c r="H14" s="73"/>
      <c r="I14" s="72"/>
      <c r="J14" s="73"/>
      <c r="K14" s="74"/>
    </row>
    <row r="15" spans="1:11">
      <c r="A15" s="85" t="s">
        <v>256</v>
      </c>
    </row>
    <row r="16" spans="1:11">
      <c r="A16" s="349" t="s">
        <v>378</v>
      </c>
    </row>
    <row r="28" spans="6:6">
      <c r="F28" s="349"/>
    </row>
  </sheetData>
  <mergeCells count="12">
    <mergeCell ref="E12:G12"/>
    <mergeCell ref="A12:D12"/>
    <mergeCell ref="H8:K8"/>
    <mergeCell ref="E9:G9"/>
    <mergeCell ref="E10:G10"/>
    <mergeCell ref="E11:G11"/>
    <mergeCell ref="A6:D6"/>
    <mergeCell ref="E6:G6"/>
    <mergeCell ref="A7:D7"/>
    <mergeCell ref="E7:G7"/>
    <mergeCell ref="A8:D8"/>
    <mergeCell ref="E8:G8"/>
  </mergeCells>
  <pageMargins left="0.7" right="0.7" top="0.75" bottom="0.75" header="0.3" footer="0.3"/>
  <pageSetup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7C5E-3FFB-40BF-BE72-BC3A73AAC7DC}">
  <sheetPr codeName="Sheet31">
    <tabColor theme="9"/>
    <pageSetUpPr fitToPage="1"/>
  </sheetPr>
  <dimension ref="A1:H110"/>
  <sheetViews>
    <sheetView view="pageLayout" topLeftCell="A4" zoomScale="70" zoomScaleNormal="100" zoomScaleSheetLayoutView="70" zoomScalePageLayoutView="70" workbookViewId="0">
      <selection activeCell="H84" sqref="H84"/>
    </sheetView>
  </sheetViews>
  <sheetFormatPr defaultColWidth="9.140625" defaultRowHeight="13.9"/>
  <cols>
    <col min="1" max="1" width="20.7109375" style="264" customWidth="1"/>
    <col min="2" max="2" width="22.42578125" style="264" bestFit="1" customWidth="1"/>
    <col min="3" max="3" width="36" style="264" bestFit="1" customWidth="1"/>
    <col min="4" max="4" width="53.42578125" style="264" bestFit="1" customWidth="1"/>
    <col min="5" max="5" width="14.42578125" style="264" bestFit="1" customWidth="1"/>
    <col min="6" max="6" width="9.7109375" style="264" bestFit="1" customWidth="1"/>
    <col min="7" max="7" width="15.28515625" style="264" bestFit="1" customWidth="1"/>
    <col min="8" max="8" width="18" style="264" bestFit="1" customWidth="1"/>
    <col min="9" max="16384" width="9.140625" style="271"/>
  </cols>
  <sheetData>
    <row r="1" spans="1:8" ht="15.6">
      <c r="A1" s="288" t="s">
        <v>39</v>
      </c>
      <c r="B1" s="289" t="s">
        <v>40</v>
      </c>
      <c r="C1" s="289"/>
      <c r="D1" s="289"/>
      <c r="E1" s="289"/>
      <c r="F1" s="290"/>
      <c r="G1" s="290"/>
      <c r="H1" s="291"/>
    </row>
    <row r="2" spans="1:8" ht="15.6">
      <c r="A2" s="292" t="s">
        <v>22</v>
      </c>
      <c r="B2" s="293"/>
      <c r="C2" s="293"/>
      <c r="D2" s="294"/>
      <c r="E2" s="293"/>
      <c r="H2" s="295"/>
    </row>
    <row r="3" spans="1:8" ht="15" customHeight="1">
      <c r="A3" s="412" t="s">
        <v>41</v>
      </c>
      <c r="B3" s="414" t="s">
        <v>42</v>
      </c>
      <c r="C3" s="272"/>
      <c r="D3" s="401" t="s">
        <v>43</v>
      </c>
      <c r="E3" s="416" t="s">
        <v>44</v>
      </c>
      <c r="F3" s="416" t="s">
        <v>12</v>
      </c>
      <c r="G3" s="416" t="s">
        <v>45</v>
      </c>
      <c r="H3" s="395" t="s">
        <v>46</v>
      </c>
    </row>
    <row r="4" spans="1:8">
      <c r="A4" s="413"/>
      <c r="B4" s="415"/>
      <c r="C4" s="265" t="s">
        <v>47</v>
      </c>
      <c r="D4" s="402"/>
      <c r="E4" s="417"/>
      <c r="F4" s="417"/>
      <c r="G4" s="417"/>
      <c r="H4" s="396"/>
    </row>
    <row r="5" spans="1:8" ht="15" customHeight="1">
      <c r="A5" s="296">
        <v>1</v>
      </c>
      <c r="B5" s="270" t="s">
        <v>48</v>
      </c>
      <c r="C5" s="409" t="s">
        <v>28</v>
      </c>
      <c r="D5" s="273" t="s">
        <v>49</v>
      </c>
      <c r="E5" s="276">
        <v>10000</v>
      </c>
      <c r="F5" s="268" t="s">
        <v>50</v>
      </c>
      <c r="G5" s="269"/>
      <c r="H5" s="297">
        <f>E5*G5</f>
        <v>0</v>
      </c>
    </row>
    <row r="6" spans="1:8" ht="15" customHeight="1">
      <c r="A6" s="296">
        <f>A5+1</f>
        <v>2</v>
      </c>
      <c r="B6" s="274" t="s">
        <v>51</v>
      </c>
      <c r="C6" s="410"/>
      <c r="D6" s="273" t="s">
        <v>52</v>
      </c>
      <c r="E6" s="276">
        <v>1</v>
      </c>
      <c r="F6" s="268" t="s">
        <v>53</v>
      </c>
      <c r="G6" s="269"/>
      <c r="H6" s="297">
        <f t="shared" ref="H6:H33" si="0">E6*G6</f>
        <v>0</v>
      </c>
    </row>
    <row r="7" spans="1:8" ht="15" customHeight="1">
      <c r="A7" s="296">
        <f t="shared" ref="A7:A10" si="1">A6+1</f>
        <v>3</v>
      </c>
      <c r="B7" s="274" t="s">
        <v>54</v>
      </c>
      <c r="C7" s="410"/>
      <c r="D7" s="266" t="s">
        <v>55</v>
      </c>
      <c r="E7" s="276">
        <v>1</v>
      </c>
      <c r="F7" s="268" t="s">
        <v>53</v>
      </c>
      <c r="G7" s="269"/>
      <c r="H7" s="297">
        <f t="shared" si="0"/>
        <v>0</v>
      </c>
    </row>
    <row r="8" spans="1:8" ht="15" customHeight="1">
      <c r="A8" s="296">
        <f t="shared" si="1"/>
        <v>4</v>
      </c>
      <c r="B8" s="270"/>
      <c r="C8" s="410"/>
      <c r="D8" s="266" t="s">
        <v>56</v>
      </c>
      <c r="E8" s="276">
        <v>1</v>
      </c>
      <c r="F8" s="268" t="s">
        <v>53</v>
      </c>
      <c r="G8" s="269"/>
      <c r="H8" s="297">
        <f t="shared" si="0"/>
        <v>0</v>
      </c>
    </row>
    <row r="9" spans="1:8" ht="15" customHeight="1">
      <c r="A9" s="296">
        <f t="shared" si="1"/>
        <v>5</v>
      </c>
      <c r="B9" s="270"/>
      <c r="C9" s="410"/>
      <c r="D9" s="266" t="s">
        <v>57</v>
      </c>
      <c r="E9" s="276">
        <v>1</v>
      </c>
      <c r="F9" s="268" t="s">
        <v>53</v>
      </c>
      <c r="G9" s="269"/>
      <c r="H9" s="297">
        <f t="shared" si="0"/>
        <v>0</v>
      </c>
    </row>
    <row r="10" spans="1:8" ht="15" customHeight="1">
      <c r="A10" s="296">
        <f t="shared" si="1"/>
        <v>6</v>
      </c>
      <c r="B10" s="270"/>
      <c r="C10" s="411"/>
      <c r="D10" s="266" t="s">
        <v>58</v>
      </c>
      <c r="E10" s="276">
        <v>1</v>
      </c>
      <c r="F10" s="267" t="s">
        <v>53</v>
      </c>
      <c r="G10" s="269"/>
      <c r="H10" s="297">
        <f t="shared" si="0"/>
        <v>0</v>
      </c>
    </row>
    <row r="11" spans="1:8" s="284" customFormat="1" ht="13.5" customHeight="1">
      <c r="A11" s="298"/>
      <c r="B11" s="397" t="s">
        <v>59</v>
      </c>
      <c r="C11" s="397"/>
      <c r="D11" s="397"/>
      <c r="E11" s="397"/>
      <c r="F11" s="397"/>
      <c r="G11" s="397"/>
      <c r="H11" s="299">
        <f>SUM(H5:H10)</f>
        <v>0</v>
      </c>
    </row>
    <row r="12" spans="1:8" ht="14.25" customHeight="1">
      <c r="A12" s="300">
        <f>A10+1</f>
        <v>7</v>
      </c>
      <c r="B12" s="279"/>
      <c r="C12" s="405" t="s">
        <v>60</v>
      </c>
      <c r="D12" s="280" t="s">
        <v>61</v>
      </c>
      <c r="E12" s="276">
        <v>460</v>
      </c>
      <c r="F12" s="277" t="s">
        <v>62</v>
      </c>
      <c r="G12" s="278"/>
      <c r="H12" s="301">
        <f t="shared" si="0"/>
        <v>0</v>
      </c>
    </row>
    <row r="13" spans="1:8">
      <c r="A13" s="300">
        <f>A12+1</f>
        <v>8</v>
      </c>
      <c r="B13" s="279"/>
      <c r="C13" s="406"/>
      <c r="D13" s="275" t="s">
        <v>63</v>
      </c>
      <c r="E13" s="276">
        <v>4</v>
      </c>
      <c r="F13" s="277" t="s">
        <v>64</v>
      </c>
      <c r="G13" s="278"/>
      <c r="H13" s="301">
        <f t="shared" si="0"/>
        <v>0</v>
      </c>
    </row>
    <row r="14" spans="1:8">
      <c r="A14" s="300">
        <f t="shared" ref="A14:A26" si="2">A13+1</f>
        <v>9</v>
      </c>
      <c r="B14" s="279"/>
      <c r="C14" s="406"/>
      <c r="D14" s="275" t="s">
        <v>65</v>
      </c>
      <c r="E14" s="276">
        <v>20</v>
      </c>
      <c r="F14" s="277" t="s">
        <v>14</v>
      </c>
      <c r="G14" s="278"/>
      <c r="H14" s="301">
        <f t="shared" si="0"/>
        <v>0</v>
      </c>
    </row>
    <row r="15" spans="1:8">
      <c r="A15" s="300">
        <f t="shared" si="2"/>
        <v>10</v>
      </c>
      <c r="B15" s="279"/>
      <c r="C15" s="406"/>
      <c r="D15" s="275" t="s">
        <v>66</v>
      </c>
      <c r="E15" s="276">
        <v>105</v>
      </c>
      <c r="F15" s="277" t="s">
        <v>62</v>
      </c>
      <c r="G15" s="278"/>
      <c r="H15" s="301">
        <f t="shared" si="0"/>
        <v>0</v>
      </c>
    </row>
    <row r="16" spans="1:8">
      <c r="A16" s="300">
        <f t="shared" si="2"/>
        <v>11</v>
      </c>
      <c r="B16" s="279"/>
      <c r="C16" s="406"/>
      <c r="D16" s="275" t="s">
        <v>67</v>
      </c>
      <c r="E16" s="276">
        <v>1</v>
      </c>
      <c r="F16" s="277" t="s">
        <v>64</v>
      </c>
      <c r="G16" s="278"/>
      <c r="H16" s="301">
        <f t="shared" si="0"/>
        <v>0</v>
      </c>
    </row>
    <row r="17" spans="1:8">
      <c r="A17" s="300">
        <f t="shared" si="2"/>
        <v>12</v>
      </c>
      <c r="B17" s="279"/>
      <c r="C17" s="406"/>
      <c r="D17" s="275" t="s">
        <v>68</v>
      </c>
      <c r="E17" s="276">
        <v>52.902222222222207</v>
      </c>
      <c r="F17" s="277" t="s">
        <v>62</v>
      </c>
      <c r="G17" s="278"/>
      <c r="H17" s="301">
        <f t="shared" si="0"/>
        <v>0</v>
      </c>
    </row>
    <row r="18" spans="1:8">
      <c r="A18" s="300">
        <f t="shared" si="2"/>
        <v>13</v>
      </c>
      <c r="B18" s="279"/>
      <c r="C18" s="406"/>
      <c r="D18" s="275" t="s">
        <v>69</v>
      </c>
      <c r="E18" s="276">
        <v>400</v>
      </c>
      <c r="F18" s="277" t="s">
        <v>14</v>
      </c>
      <c r="G18" s="278"/>
      <c r="H18" s="301">
        <f t="shared" si="0"/>
        <v>0</v>
      </c>
    </row>
    <row r="19" spans="1:8">
      <c r="A19" s="300">
        <f t="shared" si="2"/>
        <v>14</v>
      </c>
      <c r="B19" s="279"/>
      <c r="C19" s="406"/>
      <c r="D19" s="275" t="s">
        <v>70</v>
      </c>
      <c r="E19" s="276">
        <v>44</v>
      </c>
      <c r="F19" s="277" t="s">
        <v>62</v>
      </c>
      <c r="G19" s="278"/>
      <c r="H19" s="301">
        <f t="shared" si="0"/>
        <v>0</v>
      </c>
    </row>
    <row r="20" spans="1:8">
      <c r="A20" s="300">
        <f t="shared" si="2"/>
        <v>15</v>
      </c>
      <c r="B20" s="279"/>
      <c r="C20" s="406"/>
      <c r="D20" s="275" t="s">
        <v>71</v>
      </c>
      <c r="E20" s="276">
        <v>36</v>
      </c>
      <c r="F20" s="277" t="s">
        <v>62</v>
      </c>
      <c r="G20" s="278"/>
      <c r="H20" s="301">
        <f t="shared" si="0"/>
        <v>0</v>
      </c>
    </row>
    <row r="21" spans="1:8">
      <c r="A21" s="300">
        <f t="shared" si="2"/>
        <v>16</v>
      </c>
      <c r="B21" s="279"/>
      <c r="C21" s="406"/>
      <c r="D21" s="275" t="s">
        <v>72</v>
      </c>
      <c r="E21" s="276">
        <v>3195.0599999999977</v>
      </c>
      <c r="F21" s="277" t="s">
        <v>73</v>
      </c>
      <c r="G21" s="278"/>
      <c r="H21" s="301">
        <f t="shared" si="0"/>
        <v>0</v>
      </c>
    </row>
    <row r="22" spans="1:8">
      <c r="A22" s="300">
        <f t="shared" si="2"/>
        <v>17</v>
      </c>
      <c r="B22" s="279"/>
      <c r="C22" s="406"/>
      <c r="D22" s="275" t="s">
        <v>74</v>
      </c>
      <c r="E22" s="276">
        <v>188.63999999999987</v>
      </c>
      <c r="F22" s="277" t="s">
        <v>14</v>
      </c>
      <c r="G22" s="278"/>
      <c r="H22" s="301">
        <f t="shared" si="0"/>
        <v>0</v>
      </c>
    </row>
    <row r="23" spans="1:8">
      <c r="A23" s="300">
        <f t="shared" si="2"/>
        <v>18</v>
      </c>
      <c r="B23" s="279"/>
      <c r="C23" s="406"/>
      <c r="D23" s="275" t="s">
        <v>75</v>
      </c>
      <c r="E23" s="276">
        <v>5</v>
      </c>
      <c r="F23" s="277" t="s">
        <v>14</v>
      </c>
      <c r="G23" s="278"/>
      <c r="H23" s="301">
        <f t="shared" si="0"/>
        <v>0</v>
      </c>
    </row>
    <row r="24" spans="1:8">
      <c r="A24" s="300">
        <f t="shared" si="2"/>
        <v>19</v>
      </c>
      <c r="B24" s="279"/>
      <c r="C24" s="406"/>
      <c r="D24" s="275" t="s">
        <v>76</v>
      </c>
      <c r="E24" s="276">
        <v>2</v>
      </c>
      <c r="F24" s="277" t="s">
        <v>64</v>
      </c>
      <c r="G24" s="278"/>
      <c r="H24" s="301">
        <f t="shared" si="0"/>
        <v>0</v>
      </c>
    </row>
    <row r="25" spans="1:8">
      <c r="A25" s="300">
        <f t="shared" si="2"/>
        <v>20</v>
      </c>
      <c r="B25" s="279"/>
      <c r="C25" s="406"/>
      <c r="D25" s="275" t="s">
        <v>77</v>
      </c>
      <c r="E25" s="276">
        <v>2</v>
      </c>
      <c r="F25" s="277" t="s">
        <v>64</v>
      </c>
      <c r="G25" s="278"/>
      <c r="H25" s="301">
        <f t="shared" si="0"/>
        <v>0</v>
      </c>
    </row>
    <row r="26" spans="1:8">
      <c r="A26" s="300">
        <f t="shared" si="2"/>
        <v>21</v>
      </c>
      <c r="B26" s="279"/>
      <c r="C26" s="406"/>
      <c r="D26" s="275" t="s">
        <v>78</v>
      </c>
      <c r="E26" s="276">
        <v>8</v>
      </c>
      <c r="F26" s="277" t="s">
        <v>79</v>
      </c>
      <c r="G26" s="278"/>
      <c r="H26" s="301">
        <f t="shared" si="0"/>
        <v>0</v>
      </c>
    </row>
    <row r="27" spans="1:8">
      <c r="A27" s="300">
        <f t="shared" ref="A27:A52" si="3">A26+1</f>
        <v>22</v>
      </c>
      <c r="B27" s="279" t="s">
        <v>80</v>
      </c>
      <c r="C27" s="406"/>
      <c r="D27" s="275" t="s">
        <v>81</v>
      </c>
      <c r="E27" s="276">
        <v>25</v>
      </c>
      <c r="F27" s="277" t="s">
        <v>62</v>
      </c>
      <c r="G27" s="278"/>
      <c r="H27" s="301">
        <f t="shared" si="0"/>
        <v>0</v>
      </c>
    </row>
    <row r="28" spans="1:8" ht="15" customHeight="1">
      <c r="A28" s="300">
        <f t="shared" si="3"/>
        <v>23</v>
      </c>
      <c r="B28" s="281"/>
      <c r="C28" s="406"/>
      <c r="D28" s="282" t="s">
        <v>82</v>
      </c>
      <c r="E28" s="276">
        <v>15944</v>
      </c>
      <c r="F28" s="277" t="s">
        <v>73</v>
      </c>
      <c r="G28" s="278"/>
      <c r="H28" s="301">
        <f t="shared" si="0"/>
        <v>0</v>
      </c>
    </row>
    <row r="29" spans="1:8" ht="15" customHeight="1">
      <c r="A29" s="300">
        <f t="shared" si="3"/>
        <v>24</v>
      </c>
      <c r="B29" s="281"/>
      <c r="C29" s="406"/>
      <c r="D29" s="282" t="s">
        <v>83</v>
      </c>
      <c r="E29" s="276">
        <v>33</v>
      </c>
      <c r="F29" s="276" t="s">
        <v>62</v>
      </c>
      <c r="G29" s="278"/>
      <c r="H29" s="301">
        <f t="shared" si="0"/>
        <v>0</v>
      </c>
    </row>
    <row r="30" spans="1:8" ht="15" customHeight="1">
      <c r="A30" s="300">
        <f t="shared" si="3"/>
        <v>25</v>
      </c>
      <c r="B30" s="281"/>
      <c r="C30" s="406"/>
      <c r="D30" s="275" t="s">
        <v>84</v>
      </c>
      <c r="E30" s="276">
        <v>805</v>
      </c>
      <c r="F30" s="277" t="s">
        <v>64</v>
      </c>
      <c r="G30" s="278"/>
      <c r="H30" s="301">
        <f t="shared" si="0"/>
        <v>0</v>
      </c>
    </row>
    <row r="31" spans="1:8" ht="15" customHeight="1">
      <c r="A31" s="300">
        <f t="shared" si="3"/>
        <v>26</v>
      </c>
      <c r="B31" s="281"/>
      <c r="C31" s="406"/>
      <c r="D31" s="275" t="s">
        <v>85</v>
      </c>
      <c r="E31" s="276">
        <v>773</v>
      </c>
      <c r="F31" s="277" t="s">
        <v>64</v>
      </c>
      <c r="G31" s="278"/>
      <c r="H31" s="301">
        <f t="shared" si="0"/>
        <v>0</v>
      </c>
    </row>
    <row r="32" spans="1:8" ht="15" customHeight="1">
      <c r="A32" s="300">
        <f t="shared" si="3"/>
        <v>27</v>
      </c>
      <c r="B32" s="281"/>
      <c r="C32" s="406"/>
      <c r="D32" s="275" t="s">
        <v>86</v>
      </c>
      <c r="E32" s="276">
        <v>25</v>
      </c>
      <c r="F32" s="276" t="s">
        <v>14</v>
      </c>
      <c r="G32" s="278"/>
      <c r="H32" s="301">
        <f t="shared" si="0"/>
        <v>0</v>
      </c>
    </row>
    <row r="33" spans="1:8" ht="15" customHeight="1">
      <c r="A33" s="300">
        <f t="shared" si="3"/>
        <v>28</v>
      </c>
      <c r="B33" s="281"/>
      <c r="C33" s="406"/>
      <c r="D33" s="275" t="s">
        <v>87</v>
      </c>
      <c r="E33" s="276">
        <v>146</v>
      </c>
      <c r="F33" s="276" t="s">
        <v>62</v>
      </c>
      <c r="G33" s="278"/>
      <c r="H33" s="301">
        <f t="shared" si="0"/>
        <v>0</v>
      </c>
    </row>
    <row r="34" spans="1:8" ht="15" customHeight="1">
      <c r="A34" s="300">
        <f t="shared" si="3"/>
        <v>29</v>
      </c>
      <c r="B34" s="281"/>
      <c r="C34" s="406"/>
      <c r="D34" s="286" t="s">
        <v>88</v>
      </c>
      <c r="E34" s="276">
        <v>50</v>
      </c>
      <c r="F34" s="276" t="s">
        <v>62</v>
      </c>
      <c r="G34" s="278"/>
      <c r="H34" s="301">
        <f>CEILING(E34*G34,100)</f>
        <v>0</v>
      </c>
    </row>
    <row r="35" spans="1:8" ht="15" customHeight="1">
      <c r="A35" s="300">
        <f t="shared" si="3"/>
        <v>30</v>
      </c>
      <c r="B35" s="281"/>
      <c r="C35" s="406"/>
      <c r="D35" s="286" t="s">
        <v>89</v>
      </c>
      <c r="E35" s="276">
        <v>200</v>
      </c>
      <c r="F35" s="277" t="s">
        <v>73</v>
      </c>
      <c r="G35" s="278"/>
      <c r="H35" s="301">
        <f t="shared" ref="H35:H36" si="4">E35*G35</f>
        <v>0</v>
      </c>
    </row>
    <row r="36" spans="1:8" ht="15" customHeight="1">
      <c r="A36" s="300">
        <f t="shared" si="3"/>
        <v>31</v>
      </c>
      <c r="B36" s="281"/>
      <c r="C36" s="407"/>
      <c r="D36" s="287" t="s">
        <v>90</v>
      </c>
      <c r="E36" s="276">
        <v>1</v>
      </c>
      <c r="F36" s="276" t="s">
        <v>53</v>
      </c>
      <c r="G36" s="278"/>
      <c r="H36" s="301">
        <f t="shared" si="4"/>
        <v>0</v>
      </c>
    </row>
    <row r="37" spans="1:8" s="284" customFormat="1" ht="13.5" customHeight="1">
      <c r="A37" s="298"/>
      <c r="B37" s="397" t="s">
        <v>91</v>
      </c>
      <c r="C37" s="397"/>
      <c r="D37" s="397"/>
      <c r="E37" s="397"/>
      <c r="F37" s="397"/>
      <c r="G37" s="397"/>
      <c r="H37" s="299">
        <f>SUM(H12:H36)</f>
        <v>0</v>
      </c>
    </row>
    <row r="38" spans="1:8">
      <c r="A38" s="300">
        <f>A36+1</f>
        <v>32</v>
      </c>
      <c r="B38" s="279"/>
      <c r="C38" s="403" t="s">
        <v>92</v>
      </c>
      <c r="D38" s="280" t="s">
        <v>61</v>
      </c>
      <c r="E38" s="276">
        <v>197.77777777777777</v>
      </c>
      <c r="F38" s="276" t="s">
        <v>62</v>
      </c>
      <c r="G38" s="278"/>
      <c r="H38" s="301">
        <f t="shared" ref="H38:H80" si="5">E38*G38</f>
        <v>0</v>
      </c>
    </row>
    <row r="39" spans="1:8">
      <c r="A39" s="300">
        <f t="shared" si="3"/>
        <v>33</v>
      </c>
      <c r="B39" s="279"/>
      <c r="C39" s="404"/>
      <c r="D39" s="275" t="s">
        <v>70</v>
      </c>
      <c r="E39" s="276">
        <v>38</v>
      </c>
      <c r="F39" s="276" t="s">
        <v>62</v>
      </c>
      <c r="G39" s="278"/>
      <c r="H39" s="301">
        <f t="shared" si="5"/>
        <v>0</v>
      </c>
    </row>
    <row r="40" spans="1:8">
      <c r="A40" s="300">
        <f t="shared" si="3"/>
        <v>34</v>
      </c>
      <c r="B40" s="279"/>
      <c r="C40" s="404"/>
      <c r="D40" s="275" t="s">
        <v>93</v>
      </c>
      <c r="E40" s="276">
        <v>1</v>
      </c>
      <c r="F40" s="276" t="s">
        <v>64</v>
      </c>
      <c r="G40" s="278"/>
      <c r="H40" s="301">
        <f t="shared" si="5"/>
        <v>0</v>
      </c>
    </row>
    <row r="41" spans="1:8">
      <c r="A41" s="300">
        <f t="shared" si="3"/>
        <v>35</v>
      </c>
      <c r="B41" s="279"/>
      <c r="C41" s="404"/>
      <c r="D41" s="275" t="s">
        <v>71</v>
      </c>
      <c r="E41" s="276">
        <v>32</v>
      </c>
      <c r="F41" s="276" t="s">
        <v>62</v>
      </c>
      <c r="G41" s="278"/>
      <c r="H41" s="301">
        <f t="shared" si="5"/>
        <v>0</v>
      </c>
    </row>
    <row r="42" spans="1:8">
      <c r="A42" s="300">
        <f t="shared" si="3"/>
        <v>36</v>
      </c>
      <c r="B42" s="279"/>
      <c r="C42" s="404"/>
      <c r="D42" s="275" t="s">
        <v>94</v>
      </c>
      <c r="E42" s="276">
        <v>65</v>
      </c>
      <c r="F42" s="276" t="s">
        <v>14</v>
      </c>
      <c r="G42" s="283"/>
      <c r="H42" s="301">
        <f t="shared" si="5"/>
        <v>0</v>
      </c>
    </row>
    <row r="43" spans="1:8">
      <c r="A43" s="300">
        <f t="shared" si="3"/>
        <v>37</v>
      </c>
      <c r="B43" s="279"/>
      <c r="C43" s="404"/>
      <c r="D43" s="275" t="s">
        <v>74</v>
      </c>
      <c r="E43" s="276">
        <v>30</v>
      </c>
      <c r="F43" s="276" t="s">
        <v>14</v>
      </c>
      <c r="G43" s="278"/>
      <c r="H43" s="301">
        <f t="shared" si="5"/>
        <v>0</v>
      </c>
    </row>
    <row r="44" spans="1:8">
      <c r="A44" s="300">
        <f t="shared" si="3"/>
        <v>38</v>
      </c>
      <c r="B44" s="279"/>
      <c r="C44" s="404"/>
      <c r="D44" s="275" t="s">
        <v>95</v>
      </c>
      <c r="E44" s="276">
        <v>1</v>
      </c>
      <c r="F44" s="277" t="s">
        <v>64</v>
      </c>
      <c r="G44" s="278"/>
      <c r="H44" s="301">
        <f t="shared" si="5"/>
        <v>0</v>
      </c>
    </row>
    <row r="45" spans="1:8">
      <c r="A45" s="300">
        <f t="shared" si="3"/>
        <v>39</v>
      </c>
      <c r="B45" s="279"/>
      <c r="C45" s="404"/>
      <c r="D45" s="275" t="s">
        <v>96</v>
      </c>
      <c r="E45" s="276">
        <v>1</v>
      </c>
      <c r="F45" s="276" t="s">
        <v>53</v>
      </c>
      <c r="G45" s="278"/>
      <c r="H45" s="301">
        <f t="shared" si="5"/>
        <v>0</v>
      </c>
    </row>
    <row r="46" spans="1:8">
      <c r="A46" s="300">
        <f t="shared" si="3"/>
        <v>40</v>
      </c>
      <c r="B46" s="279"/>
      <c r="C46" s="404"/>
      <c r="D46" s="275" t="s">
        <v>97</v>
      </c>
      <c r="E46" s="276">
        <v>480</v>
      </c>
      <c r="F46" s="276" t="s">
        <v>73</v>
      </c>
      <c r="G46" s="278"/>
      <c r="H46" s="301">
        <f t="shared" si="5"/>
        <v>0</v>
      </c>
    </row>
    <row r="47" spans="1:8">
      <c r="A47" s="300">
        <f t="shared" si="3"/>
        <v>41</v>
      </c>
      <c r="B47" s="279"/>
      <c r="C47" s="404"/>
      <c r="D47" s="282" t="s">
        <v>98</v>
      </c>
      <c r="E47" s="276">
        <v>17</v>
      </c>
      <c r="F47" s="276" t="s">
        <v>62</v>
      </c>
      <c r="G47" s="278"/>
      <c r="H47" s="301">
        <f t="shared" si="5"/>
        <v>0</v>
      </c>
    </row>
    <row r="48" spans="1:8" ht="15" customHeight="1">
      <c r="A48" s="300">
        <f t="shared" si="3"/>
        <v>42</v>
      </c>
      <c r="B48" s="281"/>
      <c r="C48" s="404"/>
      <c r="D48" s="282" t="s">
        <v>82</v>
      </c>
      <c r="E48" s="276">
        <v>1883</v>
      </c>
      <c r="F48" s="277" t="s">
        <v>73</v>
      </c>
      <c r="G48" s="278"/>
      <c r="H48" s="301">
        <f t="shared" si="5"/>
        <v>0</v>
      </c>
    </row>
    <row r="49" spans="1:8" ht="15" customHeight="1">
      <c r="A49" s="300">
        <f t="shared" si="3"/>
        <v>43</v>
      </c>
      <c r="B49" s="281"/>
      <c r="C49" s="404"/>
      <c r="D49" s="282" t="s">
        <v>99</v>
      </c>
      <c r="E49" s="276">
        <v>88</v>
      </c>
      <c r="F49" s="277" t="s">
        <v>14</v>
      </c>
      <c r="G49" s="278"/>
      <c r="H49" s="301">
        <f t="shared" si="5"/>
        <v>0</v>
      </c>
    </row>
    <row r="50" spans="1:8" ht="15" customHeight="1">
      <c r="A50" s="300">
        <f t="shared" si="3"/>
        <v>44</v>
      </c>
      <c r="B50" s="281"/>
      <c r="C50" s="404"/>
      <c r="D50" s="282" t="s">
        <v>100</v>
      </c>
      <c r="E50" s="276">
        <v>170</v>
      </c>
      <c r="F50" s="277" t="s">
        <v>14</v>
      </c>
      <c r="G50" s="278"/>
      <c r="H50" s="301">
        <f t="shared" si="5"/>
        <v>0</v>
      </c>
    </row>
    <row r="51" spans="1:8" ht="15" customHeight="1">
      <c r="A51" s="300">
        <f t="shared" si="3"/>
        <v>45</v>
      </c>
      <c r="B51" s="281"/>
      <c r="C51" s="404"/>
      <c r="D51" s="282" t="s">
        <v>101</v>
      </c>
      <c r="E51" s="276">
        <v>1</v>
      </c>
      <c r="F51" s="277" t="s">
        <v>64</v>
      </c>
      <c r="G51" s="278"/>
      <c r="H51" s="301">
        <f t="shared" ref="H51" si="6">E51*G51</f>
        <v>0</v>
      </c>
    </row>
    <row r="52" spans="1:8" ht="15" customHeight="1">
      <c r="A52" s="300">
        <f t="shared" si="3"/>
        <v>46</v>
      </c>
      <c r="B52" s="281"/>
      <c r="C52" s="404"/>
      <c r="D52" s="282" t="s">
        <v>102</v>
      </c>
      <c r="E52" s="276">
        <v>266</v>
      </c>
      <c r="F52" s="277" t="s">
        <v>64</v>
      </c>
      <c r="G52" s="278"/>
      <c r="H52" s="301">
        <f t="shared" si="5"/>
        <v>0</v>
      </c>
    </row>
    <row r="53" spans="1:8" s="284" customFormat="1" ht="13.5" customHeight="1">
      <c r="A53" s="298"/>
      <c r="B53" s="397" t="s">
        <v>103</v>
      </c>
      <c r="C53" s="397"/>
      <c r="D53" s="397"/>
      <c r="E53" s="397"/>
      <c r="F53" s="397"/>
      <c r="G53" s="397"/>
      <c r="H53" s="299">
        <f>SUM(H38:H52)</f>
        <v>0</v>
      </c>
    </row>
    <row r="54" spans="1:8">
      <c r="A54" s="300">
        <f>A52+1</f>
        <v>47</v>
      </c>
      <c r="B54" s="279"/>
      <c r="C54" s="403" t="s">
        <v>104</v>
      </c>
      <c r="D54" s="280" t="s">
        <v>61</v>
      </c>
      <c r="E54" s="276">
        <v>2280.471111111111</v>
      </c>
      <c r="F54" s="276" t="s">
        <v>62</v>
      </c>
      <c r="G54" s="278"/>
      <c r="H54" s="302">
        <f t="shared" si="5"/>
        <v>0</v>
      </c>
    </row>
    <row r="55" spans="1:8">
      <c r="A55" s="300">
        <f>A54+1</f>
        <v>48</v>
      </c>
      <c r="B55" s="279"/>
      <c r="C55" s="404"/>
      <c r="D55" s="275" t="s">
        <v>105</v>
      </c>
      <c r="E55" s="276">
        <v>1</v>
      </c>
      <c r="F55" s="276" t="s">
        <v>53</v>
      </c>
      <c r="G55" s="278"/>
      <c r="H55" s="302">
        <f t="shared" si="5"/>
        <v>0</v>
      </c>
    </row>
    <row r="56" spans="1:8" ht="13.15" customHeight="1">
      <c r="A56" s="300">
        <f t="shared" ref="A56:A68" si="7">A55+1</f>
        <v>49</v>
      </c>
      <c r="B56" s="279"/>
      <c r="C56" s="404"/>
      <c r="D56" s="275" t="s">
        <v>106</v>
      </c>
      <c r="E56" s="276">
        <v>1</v>
      </c>
      <c r="F56" s="277" t="s">
        <v>64</v>
      </c>
      <c r="G56" s="278"/>
      <c r="H56" s="302">
        <f t="shared" si="5"/>
        <v>0</v>
      </c>
    </row>
    <row r="57" spans="1:8">
      <c r="A57" s="300">
        <f t="shared" si="7"/>
        <v>50</v>
      </c>
      <c r="B57" s="279"/>
      <c r="C57" s="404"/>
      <c r="D57" s="275" t="s">
        <v>95</v>
      </c>
      <c r="E57" s="276">
        <v>1</v>
      </c>
      <c r="F57" s="277" t="s">
        <v>64</v>
      </c>
      <c r="G57" s="278"/>
      <c r="H57" s="302">
        <f t="shared" si="5"/>
        <v>0</v>
      </c>
    </row>
    <row r="58" spans="1:8">
      <c r="A58" s="300">
        <f t="shared" si="7"/>
        <v>51</v>
      </c>
      <c r="B58" s="279"/>
      <c r="C58" s="404"/>
      <c r="D58" s="275" t="s">
        <v>107</v>
      </c>
      <c r="E58" s="276">
        <v>165</v>
      </c>
      <c r="F58" s="276" t="s">
        <v>14</v>
      </c>
      <c r="G58" s="278"/>
      <c r="H58" s="302">
        <f t="shared" si="5"/>
        <v>0</v>
      </c>
    </row>
    <row r="59" spans="1:8">
      <c r="A59" s="300">
        <f t="shared" si="7"/>
        <v>52</v>
      </c>
      <c r="B59" s="279"/>
      <c r="C59" s="404"/>
      <c r="D59" s="275" t="s">
        <v>108</v>
      </c>
      <c r="E59" s="276">
        <v>1643.1666666666667</v>
      </c>
      <c r="F59" s="276" t="s">
        <v>109</v>
      </c>
      <c r="G59" s="278"/>
      <c r="H59" s="302">
        <f t="shared" si="5"/>
        <v>0</v>
      </c>
    </row>
    <row r="60" spans="1:8">
      <c r="A60" s="300">
        <f t="shared" si="7"/>
        <v>53</v>
      </c>
      <c r="B60" s="279"/>
      <c r="C60" s="404"/>
      <c r="D60" s="275" t="s">
        <v>110</v>
      </c>
      <c r="E60" s="276">
        <v>1</v>
      </c>
      <c r="F60" s="285" t="s">
        <v>53</v>
      </c>
      <c r="G60" s="278"/>
      <c r="H60" s="302">
        <f t="shared" si="5"/>
        <v>0</v>
      </c>
    </row>
    <row r="61" spans="1:8">
      <c r="A61" s="300">
        <f t="shared" si="7"/>
        <v>54</v>
      </c>
      <c r="B61" s="279"/>
      <c r="C61" s="404"/>
      <c r="D61" s="275" t="s">
        <v>111</v>
      </c>
      <c r="E61" s="276">
        <v>1</v>
      </c>
      <c r="F61" s="285" t="s">
        <v>64</v>
      </c>
      <c r="G61" s="278"/>
      <c r="H61" s="302">
        <f t="shared" si="5"/>
        <v>0</v>
      </c>
    </row>
    <row r="62" spans="1:8">
      <c r="A62" s="300">
        <f t="shared" si="7"/>
        <v>55</v>
      </c>
      <c r="B62" s="279"/>
      <c r="C62" s="404"/>
      <c r="D62" s="275" t="s">
        <v>112</v>
      </c>
      <c r="E62" s="276">
        <v>1</v>
      </c>
      <c r="F62" s="276" t="s">
        <v>53</v>
      </c>
      <c r="G62" s="278"/>
      <c r="H62" s="302">
        <f t="shared" si="5"/>
        <v>0</v>
      </c>
    </row>
    <row r="63" spans="1:8" ht="15" customHeight="1">
      <c r="A63" s="300">
        <f t="shared" si="7"/>
        <v>56</v>
      </c>
      <c r="B63" s="279"/>
      <c r="C63" s="404"/>
      <c r="D63" s="275" t="s">
        <v>113</v>
      </c>
      <c r="E63" s="276">
        <v>1</v>
      </c>
      <c r="F63" s="276" t="s">
        <v>64</v>
      </c>
      <c r="G63" s="278"/>
      <c r="H63" s="302">
        <f t="shared" si="5"/>
        <v>0</v>
      </c>
    </row>
    <row r="64" spans="1:8">
      <c r="A64" s="300">
        <f t="shared" si="7"/>
        <v>57</v>
      </c>
      <c r="B64" s="279"/>
      <c r="C64" s="404"/>
      <c r="D64" s="275" t="s">
        <v>114</v>
      </c>
      <c r="E64" s="276">
        <v>35</v>
      </c>
      <c r="F64" s="276" t="s">
        <v>14</v>
      </c>
      <c r="G64" s="278"/>
      <c r="H64" s="302">
        <f t="shared" si="5"/>
        <v>0</v>
      </c>
    </row>
    <row r="65" spans="1:8" ht="13.15" customHeight="1">
      <c r="A65" s="300">
        <f t="shared" si="7"/>
        <v>58</v>
      </c>
      <c r="B65" s="279"/>
      <c r="C65" s="404"/>
      <c r="D65" s="275" t="s">
        <v>75</v>
      </c>
      <c r="E65" s="276">
        <v>30</v>
      </c>
      <c r="F65" s="276" t="s">
        <v>14</v>
      </c>
      <c r="G65" s="278"/>
      <c r="H65" s="302">
        <f t="shared" si="5"/>
        <v>0</v>
      </c>
    </row>
    <row r="66" spans="1:8" ht="15" customHeight="1">
      <c r="A66" s="300">
        <f t="shared" si="7"/>
        <v>59</v>
      </c>
      <c r="B66" s="281"/>
      <c r="C66" s="404"/>
      <c r="D66" s="275" t="s">
        <v>115</v>
      </c>
      <c r="E66" s="276">
        <v>49450</v>
      </c>
      <c r="F66" s="277" t="s">
        <v>73</v>
      </c>
      <c r="G66" s="278"/>
      <c r="H66" s="302">
        <f t="shared" si="5"/>
        <v>0</v>
      </c>
    </row>
    <row r="67" spans="1:8" ht="15" customHeight="1">
      <c r="A67" s="300">
        <f t="shared" si="7"/>
        <v>60</v>
      </c>
      <c r="B67" s="281"/>
      <c r="C67" s="404"/>
      <c r="D67" s="275" t="s">
        <v>116</v>
      </c>
      <c r="E67" s="276">
        <v>1</v>
      </c>
      <c r="F67" s="277" t="s">
        <v>53</v>
      </c>
      <c r="G67" s="278"/>
      <c r="H67" s="302">
        <f t="shared" si="5"/>
        <v>0</v>
      </c>
    </row>
    <row r="68" spans="1:8" ht="15" customHeight="1">
      <c r="A68" s="300">
        <f t="shared" si="7"/>
        <v>61</v>
      </c>
      <c r="B68" s="281"/>
      <c r="C68" s="404"/>
      <c r="D68" s="275" t="s">
        <v>82</v>
      </c>
      <c r="E68" s="276">
        <v>49450</v>
      </c>
      <c r="F68" s="277" t="s">
        <v>73</v>
      </c>
      <c r="G68" s="278"/>
      <c r="H68" s="302">
        <f t="shared" si="5"/>
        <v>0</v>
      </c>
    </row>
    <row r="69" spans="1:8" s="284" customFormat="1" ht="13.5" customHeight="1">
      <c r="A69" s="298"/>
      <c r="B69" s="397" t="s">
        <v>117</v>
      </c>
      <c r="C69" s="397"/>
      <c r="D69" s="397"/>
      <c r="E69" s="397"/>
      <c r="F69" s="397"/>
      <c r="G69" s="397"/>
      <c r="H69" s="299">
        <f>SUM(H54:H68)</f>
        <v>0</v>
      </c>
    </row>
    <row r="70" spans="1:8">
      <c r="A70" s="300">
        <f>A68+1</f>
        <v>62</v>
      </c>
      <c r="B70" s="279"/>
      <c r="C70" s="405" t="s">
        <v>118</v>
      </c>
      <c r="D70" s="280" t="s">
        <v>61</v>
      </c>
      <c r="E70" s="276">
        <v>218</v>
      </c>
      <c r="F70" s="277" t="s">
        <v>62</v>
      </c>
      <c r="G70" s="278"/>
      <c r="H70" s="302">
        <f t="shared" ref="H70" si="8">E70*G70</f>
        <v>0</v>
      </c>
    </row>
    <row r="71" spans="1:8">
      <c r="A71" s="300">
        <f>A70+1</f>
        <v>63</v>
      </c>
      <c r="B71" s="279"/>
      <c r="C71" s="406"/>
      <c r="D71" s="275" t="s">
        <v>119</v>
      </c>
      <c r="E71" s="276">
        <v>435</v>
      </c>
      <c r="F71" s="277" t="s">
        <v>109</v>
      </c>
      <c r="G71" s="283"/>
      <c r="H71" s="301">
        <f t="shared" si="5"/>
        <v>0</v>
      </c>
    </row>
    <row r="72" spans="1:8">
      <c r="A72" s="300">
        <f>A71+1</f>
        <v>64</v>
      </c>
      <c r="B72" s="279"/>
      <c r="C72" s="406"/>
      <c r="D72" s="275" t="s">
        <v>71</v>
      </c>
      <c r="E72" s="276">
        <v>145</v>
      </c>
      <c r="F72" s="277" t="s">
        <v>62</v>
      </c>
      <c r="G72" s="278"/>
      <c r="H72" s="301">
        <f t="shared" si="5"/>
        <v>0</v>
      </c>
    </row>
    <row r="73" spans="1:8">
      <c r="A73" s="300">
        <f t="shared" ref="A73:A80" si="9">A72+1</f>
        <v>65</v>
      </c>
      <c r="B73" s="279"/>
      <c r="C73" s="406"/>
      <c r="D73" s="275" t="s">
        <v>72</v>
      </c>
      <c r="E73" s="276">
        <v>714</v>
      </c>
      <c r="F73" s="277" t="s">
        <v>73</v>
      </c>
      <c r="G73" s="278"/>
      <c r="H73" s="301">
        <f t="shared" si="5"/>
        <v>0</v>
      </c>
    </row>
    <row r="74" spans="1:8">
      <c r="A74" s="300">
        <f t="shared" si="9"/>
        <v>66</v>
      </c>
      <c r="B74" s="279"/>
      <c r="C74" s="406"/>
      <c r="D74" s="275" t="s">
        <v>120</v>
      </c>
      <c r="E74" s="276">
        <v>253</v>
      </c>
      <c r="F74" s="277" t="s">
        <v>14</v>
      </c>
      <c r="G74" s="278"/>
      <c r="H74" s="301">
        <f t="shared" si="5"/>
        <v>0</v>
      </c>
    </row>
    <row r="75" spans="1:8" ht="27.6">
      <c r="A75" s="300">
        <f t="shared" si="9"/>
        <v>67</v>
      </c>
      <c r="B75" s="279" t="s">
        <v>121</v>
      </c>
      <c r="C75" s="406"/>
      <c r="D75" s="275" t="s">
        <v>122</v>
      </c>
      <c r="E75" s="276">
        <v>514</v>
      </c>
      <c r="F75" s="277" t="s">
        <v>109</v>
      </c>
      <c r="G75" s="278"/>
      <c r="H75" s="301">
        <f t="shared" si="5"/>
        <v>0</v>
      </c>
    </row>
    <row r="76" spans="1:8">
      <c r="A76" s="300">
        <f t="shared" si="9"/>
        <v>68</v>
      </c>
      <c r="B76" s="279"/>
      <c r="C76" s="406"/>
      <c r="D76" s="275" t="s">
        <v>123</v>
      </c>
      <c r="E76" s="276">
        <v>5</v>
      </c>
      <c r="F76" s="277" t="s">
        <v>62</v>
      </c>
      <c r="G76" s="278"/>
      <c r="H76" s="301">
        <f t="shared" si="5"/>
        <v>0</v>
      </c>
    </row>
    <row r="77" spans="1:8">
      <c r="A77" s="300">
        <f t="shared" si="9"/>
        <v>69</v>
      </c>
      <c r="B77" s="279"/>
      <c r="C77" s="406"/>
      <c r="D77" s="275" t="s">
        <v>124</v>
      </c>
      <c r="E77" s="276">
        <v>3</v>
      </c>
      <c r="F77" s="277" t="s">
        <v>64</v>
      </c>
      <c r="G77" s="278"/>
      <c r="H77" s="301">
        <f t="shared" si="5"/>
        <v>0</v>
      </c>
    </row>
    <row r="78" spans="1:8" ht="13.15" customHeight="1">
      <c r="A78" s="300">
        <f t="shared" si="9"/>
        <v>70</v>
      </c>
      <c r="B78" s="279"/>
      <c r="C78" s="406"/>
      <c r="D78" s="275" t="s">
        <v>106</v>
      </c>
      <c r="E78" s="276">
        <v>1</v>
      </c>
      <c r="F78" s="277" t="s">
        <v>64</v>
      </c>
      <c r="G78" s="278"/>
      <c r="H78" s="302">
        <f t="shared" ref="H78" si="10">E78*G78</f>
        <v>0</v>
      </c>
    </row>
    <row r="79" spans="1:8">
      <c r="A79" s="300">
        <f t="shared" si="9"/>
        <v>71</v>
      </c>
      <c r="B79" s="279"/>
      <c r="C79" s="406"/>
      <c r="D79" s="275" t="s">
        <v>74</v>
      </c>
      <c r="E79" s="276">
        <v>220</v>
      </c>
      <c r="F79" s="277" t="s">
        <v>14</v>
      </c>
      <c r="G79" s="278"/>
      <c r="H79" s="301">
        <f t="shared" si="5"/>
        <v>0</v>
      </c>
    </row>
    <row r="80" spans="1:8">
      <c r="A80" s="300">
        <f t="shared" si="9"/>
        <v>72</v>
      </c>
      <c r="B80" s="279"/>
      <c r="C80" s="407"/>
      <c r="D80" s="275" t="s">
        <v>125</v>
      </c>
      <c r="E80" s="276">
        <v>415</v>
      </c>
      <c r="F80" s="277" t="s">
        <v>14</v>
      </c>
      <c r="G80" s="278"/>
      <c r="H80" s="301">
        <f t="shared" si="5"/>
        <v>0</v>
      </c>
    </row>
    <row r="81" spans="1:8" s="284" customFormat="1" ht="13.5" customHeight="1">
      <c r="A81" s="298"/>
      <c r="B81" s="397" t="s">
        <v>126</v>
      </c>
      <c r="C81" s="397"/>
      <c r="D81" s="397"/>
      <c r="E81" s="397"/>
      <c r="F81" s="397"/>
      <c r="G81" s="397"/>
      <c r="H81" s="299">
        <f>SUM(H70:H80)</f>
        <v>0</v>
      </c>
    </row>
    <row r="82" spans="1:8">
      <c r="A82" s="300">
        <f>A80+1</f>
        <v>73</v>
      </c>
      <c r="B82" s="279"/>
      <c r="C82" s="405" t="s">
        <v>127</v>
      </c>
      <c r="D82" s="275" t="s">
        <v>128</v>
      </c>
      <c r="E82" s="276">
        <v>130</v>
      </c>
      <c r="F82" s="277" t="s">
        <v>62</v>
      </c>
      <c r="G82" s="278"/>
      <c r="H82" s="301">
        <f>CEILING(E82*G82,100)</f>
        <v>0</v>
      </c>
    </row>
    <row r="83" spans="1:8">
      <c r="A83" s="300">
        <f>A82+1</f>
        <v>74</v>
      </c>
      <c r="B83" s="279"/>
      <c r="C83" s="407"/>
      <c r="D83" s="275" t="s">
        <v>129</v>
      </c>
      <c r="E83" s="276">
        <v>150</v>
      </c>
      <c r="F83" s="277" t="s">
        <v>14</v>
      </c>
      <c r="G83" s="278"/>
      <c r="H83" s="301">
        <f>CEILING(E83*G83,100)</f>
        <v>0</v>
      </c>
    </row>
    <row r="84" spans="1:8" s="284" customFormat="1" ht="13.5" customHeight="1">
      <c r="A84" s="298"/>
      <c r="B84" s="397" t="s">
        <v>130</v>
      </c>
      <c r="C84" s="397"/>
      <c r="D84" s="397"/>
      <c r="E84" s="397"/>
      <c r="F84" s="397"/>
      <c r="G84" s="397"/>
      <c r="H84" s="299">
        <f>SUM(H82+H83)</f>
        <v>0</v>
      </c>
    </row>
    <row r="85" spans="1:8" ht="39" customHeight="1">
      <c r="A85" s="300">
        <f>A83+1</f>
        <v>75</v>
      </c>
      <c r="B85" s="279"/>
      <c r="C85" s="308" t="s">
        <v>131</v>
      </c>
      <c r="D85" s="385" t="s">
        <v>132</v>
      </c>
      <c r="E85" s="276">
        <v>2</v>
      </c>
      <c r="F85" s="277" t="s">
        <v>64</v>
      </c>
      <c r="G85" s="278"/>
      <c r="H85" s="301">
        <f>CEILING(E85*G85,100)</f>
        <v>0</v>
      </c>
    </row>
    <row r="86" spans="1:8" s="284" customFormat="1" ht="13.5" customHeight="1">
      <c r="A86" s="298"/>
      <c r="B86" s="397" t="s">
        <v>133</v>
      </c>
      <c r="C86" s="397"/>
      <c r="D86" s="397"/>
      <c r="E86" s="397"/>
      <c r="F86" s="397"/>
      <c r="G86" s="397"/>
      <c r="H86" s="299">
        <f>SUM(H85)</f>
        <v>0</v>
      </c>
    </row>
    <row r="87" spans="1:8" ht="33.4" customHeight="1">
      <c r="A87" s="300">
        <f>A85+1</f>
        <v>76</v>
      </c>
      <c r="B87" s="281"/>
      <c r="C87" s="308" t="s">
        <v>134</v>
      </c>
      <c r="D87" s="275" t="s">
        <v>135</v>
      </c>
      <c r="E87" s="276">
        <v>25</v>
      </c>
      <c r="F87" s="277" t="s">
        <v>64</v>
      </c>
      <c r="G87" s="278"/>
      <c r="H87" s="301">
        <f>CEILING(E87*G87,100)</f>
        <v>0</v>
      </c>
    </row>
    <row r="88" spans="1:8" s="284" customFormat="1" ht="13.5" customHeight="1">
      <c r="A88" s="298"/>
      <c r="B88" s="397" t="s">
        <v>136</v>
      </c>
      <c r="C88" s="397"/>
      <c r="D88" s="397"/>
      <c r="E88" s="397"/>
      <c r="F88" s="397"/>
      <c r="G88" s="397"/>
      <c r="H88" s="299">
        <f>SUM(H87)</f>
        <v>0</v>
      </c>
    </row>
    <row r="89" spans="1:8" ht="15" customHeight="1">
      <c r="A89" s="300">
        <f>A87+1</f>
        <v>77</v>
      </c>
      <c r="B89" s="281"/>
      <c r="C89" s="405" t="s">
        <v>137</v>
      </c>
      <c r="D89" s="275" t="s">
        <v>138</v>
      </c>
      <c r="E89" s="276">
        <v>7</v>
      </c>
      <c r="F89" s="277" t="s">
        <v>64</v>
      </c>
      <c r="G89" s="278"/>
      <c r="H89" s="301">
        <f>CEILING(E89*G89,100)</f>
        <v>0</v>
      </c>
    </row>
    <row r="90" spans="1:8" ht="15" customHeight="1">
      <c r="A90" s="300">
        <f>A89+1</f>
        <v>78</v>
      </c>
      <c r="B90" s="281"/>
      <c r="C90" s="406"/>
      <c r="D90" s="275" t="s">
        <v>82</v>
      </c>
      <c r="E90" s="276">
        <v>720</v>
      </c>
      <c r="F90" s="277" t="s">
        <v>73</v>
      </c>
      <c r="G90" s="278"/>
      <c r="H90" s="301">
        <f t="shared" ref="H90:H91" si="11">E90*G90</f>
        <v>0</v>
      </c>
    </row>
    <row r="91" spans="1:8" ht="15" customHeight="1">
      <c r="A91" s="300">
        <f>A90+1</f>
        <v>79</v>
      </c>
      <c r="B91" s="281"/>
      <c r="C91" s="407"/>
      <c r="D91" s="275" t="s">
        <v>139</v>
      </c>
      <c r="E91" s="276">
        <v>62</v>
      </c>
      <c r="F91" s="276" t="s">
        <v>62</v>
      </c>
      <c r="G91" s="278"/>
      <c r="H91" s="301">
        <f t="shared" si="11"/>
        <v>0</v>
      </c>
    </row>
    <row r="92" spans="1:8" s="284" customFormat="1" ht="13.5" customHeight="1">
      <c r="A92" s="298"/>
      <c r="B92" s="397" t="s">
        <v>140</v>
      </c>
      <c r="C92" s="397"/>
      <c r="D92" s="397"/>
      <c r="E92" s="397"/>
      <c r="F92" s="397"/>
      <c r="G92" s="397"/>
      <c r="H92" s="299">
        <f>SUM(H89:H91)</f>
        <v>0</v>
      </c>
    </row>
    <row r="93" spans="1:8" ht="15" customHeight="1">
      <c r="A93" s="300">
        <f>A91+1</f>
        <v>80</v>
      </c>
      <c r="B93" s="281"/>
      <c r="C93" s="405" t="s">
        <v>141</v>
      </c>
      <c r="D93" s="275" t="s">
        <v>138</v>
      </c>
      <c r="E93" s="276">
        <v>19</v>
      </c>
      <c r="F93" s="277" t="s">
        <v>64</v>
      </c>
      <c r="G93" s="278"/>
      <c r="H93" s="301">
        <f>CEILING(E93*G93,100)</f>
        <v>0</v>
      </c>
    </row>
    <row r="94" spans="1:8" ht="15" customHeight="1">
      <c r="A94" s="300">
        <f>A93+1</f>
        <v>81</v>
      </c>
      <c r="B94" s="281"/>
      <c r="C94" s="406"/>
      <c r="D94" s="275" t="s">
        <v>82</v>
      </c>
      <c r="E94" s="276">
        <v>1560</v>
      </c>
      <c r="F94" s="277" t="s">
        <v>73</v>
      </c>
      <c r="G94" s="278"/>
      <c r="H94" s="301">
        <f t="shared" ref="H94" si="12">E94*G94</f>
        <v>0</v>
      </c>
    </row>
    <row r="95" spans="1:8" ht="15" customHeight="1">
      <c r="A95" s="300">
        <f>A94+1</f>
        <v>82</v>
      </c>
      <c r="B95" s="281"/>
      <c r="C95" s="407"/>
      <c r="D95" s="275" t="s">
        <v>139</v>
      </c>
      <c r="E95" s="276">
        <v>124</v>
      </c>
      <c r="F95" s="276" t="s">
        <v>62</v>
      </c>
      <c r="G95" s="278"/>
      <c r="H95" s="301">
        <f t="shared" ref="H95" si="13">E95*G95</f>
        <v>0</v>
      </c>
    </row>
    <row r="96" spans="1:8" s="284" customFormat="1" ht="13.5" customHeight="1" thickBot="1">
      <c r="A96" s="298"/>
      <c r="B96" s="408" t="s">
        <v>142</v>
      </c>
      <c r="C96" s="408"/>
      <c r="D96" s="408"/>
      <c r="E96" s="408"/>
      <c r="F96" s="408"/>
      <c r="G96" s="408"/>
      <c r="H96" s="307">
        <f>SUM(H93:H95)</f>
        <v>0</v>
      </c>
    </row>
    <row r="97" spans="1:8" ht="15" customHeight="1" thickBot="1">
      <c r="A97" s="303"/>
      <c r="B97" s="271"/>
      <c r="C97" s="271"/>
      <c r="D97" s="271"/>
      <c r="E97" s="398" t="s">
        <v>143</v>
      </c>
      <c r="F97" s="399"/>
      <c r="G97" s="400"/>
      <c r="H97" s="319">
        <f>H96+H92+H81+H84+H88+H69+H53+H37+H11+H86</f>
        <v>0</v>
      </c>
    </row>
    <row r="98" spans="1:8" ht="15" customHeight="1">
      <c r="A98" s="304"/>
      <c r="B98" s="271"/>
      <c r="C98" s="271"/>
      <c r="D98" s="271"/>
      <c r="E98" s="271"/>
      <c r="F98" s="271"/>
      <c r="G98" s="271"/>
      <c r="H98" s="271"/>
    </row>
    <row r="99" spans="1:8" ht="15" customHeight="1">
      <c r="A99" s="305"/>
    </row>
    <row r="100" spans="1:8" ht="15" customHeight="1">
      <c r="F100" s="271"/>
      <c r="G100" s="271"/>
      <c r="H100" s="271"/>
    </row>
    <row r="101" spans="1:8" ht="15" customHeight="1">
      <c r="F101" s="271"/>
      <c r="G101" s="271"/>
      <c r="H101" s="271"/>
    </row>
    <row r="102" spans="1:8">
      <c r="C102" s="306"/>
      <c r="F102" s="271"/>
      <c r="G102" s="271"/>
      <c r="H102" s="271"/>
    </row>
    <row r="103" spans="1:8">
      <c r="F103" s="271"/>
      <c r="G103" s="271"/>
      <c r="H103" s="271"/>
    </row>
    <row r="104" spans="1:8">
      <c r="F104" s="271"/>
      <c r="H104" s="271"/>
    </row>
    <row r="105" spans="1:8">
      <c r="F105" s="271"/>
      <c r="G105" s="271"/>
      <c r="H105" s="271"/>
    </row>
    <row r="106" spans="1:8">
      <c r="F106" s="271"/>
      <c r="G106" s="271"/>
      <c r="H106" s="271"/>
    </row>
    <row r="107" spans="1:8">
      <c r="F107" s="271"/>
      <c r="G107" s="271"/>
      <c r="H107" s="271"/>
    </row>
    <row r="108" spans="1:8">
      <c r="F108" s="271"/>
      <c r="G108" s="271"/>
      <c r="H108" s="271"/>
    </row>
    <row r="109" spans="1:8">
      <c r="F109" s="271"/>
      <c r="G109" s="271"/>
      <c r="H109" s="271"/>
    </row>
    <row r="110" spans="1:8">
      <c r="F110" s="271"/>
      <c r="G110" s="271"/>
      <c r="H110" s="271"/>
    </row>
  </sheetData>
  <autoFilter ref="A3:H98" xr:uid="{FC1F8402-57CE-4674-9774-9E516D49F5A6}">
    <filterColumn colId="2" showButton="0"/>
  </autoFilter>
  <mergeCells count="26">
    <mergeCell ref="C93:C95"/>
    <mergeCell ref="B81:G81"/>
    <mergeCell ref="B92:G92"/>
    <mergeCell ref="C89:C91"/>
    <mergeCell ref="B86:G86"/>
    <mergeCell ref="A3:A4"/>
    <mergeCell ref="B3:B4"/>
    <mergeCell ref="E3:E4"/>
    <mergeCell ref="F3:F4"/>
    <mergeCell ref="G3:G4"/>
    <mergeCell ref="H3:H4"/>
    <mergeCell ref="B37:G37"/>
    <mergeCell ref="B53:G53"/>
    <mergeCell ref="E97:G97"/>
    <mergeCell ref="D3:D4"/>
    <mergeCell ref="B11:G11"/>
    <mergeCell ref="B84:G84"/>
    <mergeCell ref="B88:G88"/>
    <mergeCell ref="C54:C68"/>
    <mergeCell ref="B69:G69"/>
    <mergeCell ref="C38:C52"/>
    <mergeCell ref="C70:C80"/>
    <mergeCell ref="C82:C83"/>
    <mergeCell ref="B96:G96"/>
    <mergeCell ref="C5:C10"/>
    <mergeCell ref="C12:C36"/>
  </mergeCells>
  <phoneticPr fontId="0" type="noConversion"/>
  <pageMargins left="0.75" right="0.75" top="1.25" bottom="0.75" header="0.5" footer="0.5"/>
  <pageSetup scale="47" orientation="portrait" r:id="rId1"/>
  <headerFooter alignWithMargins="0">
    <oddHeader>&amp;C&amp;"Arial,Bold"&amp;12COST ESTIMATE
SDYS
GREEN STORMWATER DEMONSTRATION PROJECT&amp;R&amp;"Arial,Italic"Attachment 4: Project Cost Form
Submission Material 2</oddHeader>
    <oddFooter>&amp;R2 of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0326-83CC-45A1-BD25-3063021A8EBB}">
  <sheetPr codeName="Sheet3"/>
  <dimension ref="A1:E57"/>
  <sheetViews>
    <sheetView workbookViewId="0">
      <selection activeCell="E33" sqref="E33"/>
    </sheetView>
  </sheetViews>
  <sheetFormatPr defaultRowHeight="13.15"/>
  <cols>
    <col min="2" max="2" width="15.28515625" bestFit="1" customWidth="1"/>
    <col min="3" max="3" width="17.7109375" bestFit="1" customWidth="1"/>
  </cols>
  <sheetData>
    <row r="1" spans="1:5">
      <c r="A1" s="349" t="s">
        <v>144</v>
      </c>
    </row>
    <row r="2" spans="1:5">
      <c r="A2" s="349" t="s">
        <v>145</v>
      </c>
    </row>
    <row r="3" spans="1:5">
      <c r="A3" s="349" t="s">
        <v>146</v>
      </c>
      <c r="B3" s="258" t="s">
        <v>147</v>
      </c>
    </row>
    <row r="4" spans="1:5">
      <c r="A4" s="349" t="s">
        <v>148</v>
      </c>
      <c r="B4" s="258" t="s">
        <v>149</v>
      </c>
    </row>
    <row r="5" spans="1:5">
      <c r="A5" s="349"/>
      <c r="B5" s="258"/>
    </row>
    <row r="6" spans="1:5">
      <c r="A6" s="349" t="s">
        <v>150</v>
      </c>
      <c r="B6" s="258"/>
      <c r="C6">
        <v>100</v>
      </c>
    </row>
    <row r="7" spans="1:5">
      <c r="A7" s="1" t="s">
        <v>151</v>
      </c>
      <c r="B7" s="1" t="s">
        <v>152</v>
      </c>
      <c r="C7" s="1" t="s">
        <v>153</v>
      </c>
      <c r="E7" s="259" t="s">
        <v>154</v>
      </c>
    </row>
    <row r="8" spans="1:5">
      <c r="A8" s="262">
        <v>1972</v>
      </c>
      <c r="B8" s="263">
        <v>5.9</v>
      </c>
      <c r="C8" s="263">
        <f>$C$6/B8</f>
        <v>16.949152542372879</v>
      </c>
    </row>
    <row r="9" spans="1:5">
      <c r="A9" s="262">
        <v>1973</v>
      </c>
      <c r="B9" s="263">
        <v>5.7</v>
      </c>
      <c r="C9" s="263">
        <f t="shared" ref="C9:C57" si="0">$C$6/B9</f>
        <v>17.543859649122805</v>
      </c>
    </row>
    <row r="10" spans="1:5">
      <c r="A10" s="262">
        <v>1974</v>
      </c>
      <c r="B10" s="263">
        <v>9.1</v>
      </c>
      <c r="C10" s="263">
        <f t="shared" si="0"/>
        <v>10.989010989010989</v>
      </c>
    </row>
    <row r="11" spans="1:5">
      <c r="A11" s="262">
        <v>1975</v>
      </c>
      <c r="B11" s="263">
        <v>9</v>
      </c>
      <c r="C11" s="263">
        <f t="shared" si="0"/>
        <v>11.111111111111111</v>
      </c>
    </row>
    <row r="12" spans="1:5">
      <c r="A12" s="262">
        <v>1976</v>
      </c>
      <c r="B12" s="263">
        <v>9.1999999999999993</v>
      </c>
      <c r="C12" s="263">
        <f t="shared" si="0"/>
        <v>10.869565217391305</v>
      </c>
    </row>
    <row r="13" spans="1:5">
      <c r="A13" s="262">
        <v>1977</v>
      </c>
      <c r="B13" s="263">
        <v>10.9</v>
      </c>
      <c r="C13" s="263">
        <f t="shared" si="0"/>
        <v>9.1743119266055047</v>
      </c>
    </row>
    <row r="14" spans="1:5">
      <c r="A14" s="262">
        <v>1978</v>
      </c>
      <c r="B14" s="263">
        <v>12.1</v>
      </c>
      <c r="C14" s="263">
        <f t="shared" si="0"/>
        <v>8.2644628099173563</v>
      </c>
    </row>
    <row r="15" spans="1:5">
      <c r="A15" s="262">
        <v>1979</v>
      </c>
      <c r="B15" s="263">
        <v>15.8</v>
      </c>
      <c r="C15" s="263">
        <f t="shared" si="0"/>
        <v>6.3291139240506329</v>
      </c>
    </row>
    <row r="16" spans="1:5">
      <c r="A16" s="262">
        <v>1980</v>
      </c>
      <c r="B16" s="263">
        <v>15.7</v>
      </c>
      <c r="C16" s="263">
        <f t="shared" si="0"/>
        <v>6.369426751592357</v>
      </c>
    </row>
    <row r="17" spans="1:5">
      <c r="A17" s="262">
        <v>1981</v>
      </c>
      <c r="B17" s="263">
        <v>19.5</v>
      </c>
      <c r="C17" s="263">
        <f t="shared" si="0"/>
        <v>5.1282051282051286</v>
      </c>
      <c r="E17" s="258" t="s">
        <v>155</v>
      </c>
    </row>
    <row r="18" spans="1:5">
      <c r="A18" s="262">
        <v>1982</v>
      </c>
      <c r="B18" s="263">
        <v>17.399999999999999</v>
      </c>
      <c r="C18" s="263">
        <f t="shared" si="0"/>
        <v>5.7471264367816097</v>
      </c>
    </row>
    <row r="19" spans="1:5">
      <c r="A19" s="262">
        <v>1983</v>
      </c>
      <c r="B19" s="263">
        <v>17.100000000000001</v>
      </c>
      <c r="C19" s="263">
        <f t="shared" si="0"/>
        <v>5.8479532163742682</v>
      </c>
    </row>
    <row r="20" spans="1:5">
      <c r="A20" s="262">
        <v>1984</v>
      </c>
      <c r="B20" s="263">
        <v>20.8</v>
      </c>
      <c r="C20" s="263">
        <f t="shared" si="0"/>
        <v>4.8076923076923075</v>
      </c>
    </row>
    <row r="21" spans="1:5">
      <c r="A21" s="262">
        <v>1985</v>
      </c>
      <c r="B21" s="263">
        <v>19.7</v>
      </c>
      <c r="C21" s="263">
        <f t="shared" si="0"/>
        <v>5.0761421319796955</v>
      </c>
    </row>
    <row r="22" spans="1:5">
      <c r="A22" s="262">
        <v>1986</v>
      </c>
      <c r="B22" s="263">
        <v>20</v>
      </c>
      <c r="C22" s="263">
        <f t="shared" si="0"/>
        <v>5</v>
      </c>
    </row>
    <row r="23" spans="1:5">
      <c r="A23" s="262">
        <v>1987</v>
      </c>
      <c r="B23" s="263">
        <v>21.4</v>
      </c>
      <c r="C23" s="263">
        <f t="shared" si="0"/>
        <v>4.6728971962616823</v>
      </c>
    </row>
    <row r="24" spans="1:5">
      <c r="A24" s="262">
        <v>1988</v>
      </c>
      <c r="B24" s="263">
        <v>22.9</v>
      </c>
      <c r="C24" s="263">
        <f t="shared" si="0"/>
        <v>4.3668122270742362</v>
      </c>
    </row>
    <row r="25" spans="1:5">
      <c r="A25" s="262">
        <v>1989</v>
      </c>
      <c r="B25" s="263">
        <v>24.3</v>
      </c>
      <c r="C25" s="263">
        <f t="shared" si="0"/>
        <v>4.1152263374485596</v>
      </c>
    </row>
    <row r="26" spans="1:5">
      <c r="A26" s="262">
        <v>1990</v>
      </c>
      <c r="B26" s="263">
        <v>24.2</v>
      </c>
      <c r="C26" s="263">
        <f t="shared" si="0"/>
        <v>4.1322314049586781</v>
      </c>
    </row>
    <row r="27" spans="1:5">
      <c r="A27" s="262">
        <v>1991</v>
      </c>
      <c r="B27" s="263">
        <v>21.6</v>
      </c>
      <c r="C27" s="263">
        <f t="shared" si="0"/>
        <v>4.6296296296296298</v>
      </c>
    </row>
    <row r="28" spans="1:5">
      <c r="A28" s="262">
        <v>1992</v>
      </c>
      <c r="B28" s="263">
        <v>22.1</v>
      </c>
      <c r="C28" s="263">
        <f t="shared" si="0"/>
        <v>4.5248868778280542</v>
      </c>
    </row>
    <row r="29" spans="1:5">
      <c r="A29" s="262">
        <v>1993</v>
      </c>
      <c r="B29" s="263">
        <v>24.6</v>
      </c>
      <c r="C29" s="263">
        <f t="shared" si="0"/>
        <v>4.0650406504065035</v>
      </c>
    </row>
    <row r="30" spans="1:5">
      <c r="A30" s="262">
        <v>1994</v>
      </c>
      <c r="B30" s="263">
        <v>27</v>
      </c>
      <c r="C30" s="263">
        <f t="shared" si="0"/>
        <v>3.7037037037037037</v>
      </c>
    </row>
    <row r="31" spans="1:5">
      <c r="A31" s="262">
        <v>1995</v>
      </c>
      <c r="B31" s="263">
        <v>25.5</v>
      </c>
      <c r="C31" s="263">
        <f t="shared" si="0"/>
        <v>3.9215686274509802</v>
      </c>
    </row>
    <row r="32" spans="1:5">
      <c r="A32" s="262">
        <v>1996</v>
      </c>
      <c r="B32" s="263">
        <v>25.6</v>
      </c>
      <c r="C32" s="263">
        <f t="shared" si="0"/>
        <v>3.90625</v>
      </c>
    </row>
    <row r="33" spans="1:3">
      <c r="A33" s="262">
        <v>1997</v>
      </c>
      <c r="B33" s="263">
        <v>26.7</v>
      </c>
      <c r="C33" s="263">
        <f t="shared" si="0"/>
        <v>3.7453183520599254</v>
      </c>
    </row>
    <row r="34" spans="1:3">
      <c r="A34" s="262">
        <v>1998</v>
      </c>
      <c r="B34" s="263">
        <v>28</v>
      </c>
      <c r="C34" s="263">
        <f t="shared" si="0"/>
        <v>3.5714285714285716</v>
      </c>
    </row>
    <row r="35" spans="1:3">
      <c r="A35" s="262">
        <v>1999</v>
      </c>
      <c r="B35" s="263">
        <v>30</v>
      </c>
      <c r="C35" s="263">
        <f t="shared" si="0"/>
        <v>3.3333333333333335</v>
      </c>
    </row>
    <row r="36" spans="1:3">
      <c r="A36" s="262">
        <v>2000</v>
      </c>
      <c r="B36" s="263">
        <v>30.9</v>
      </c>
      <c r="C36" s="263">
        <f t="shared" si="0"/>
        <v>3.2362459546925568</v>
      </c>
    </row>
    <row r="37" spans="1:3">
      <c r="A37" s="262">
        <v>2001</v>
      </c>
      <c r="B37" s="263">
        <v>33.5</v>
      </c>
      <c r="C37" s="263">
        <f t="shared" si="0"/>
        <v>2.9850746268656718</v>
      </c>
    </row>
    <row r="38" spans="1:3">
      <c r="A38" s="262">
        <v>2002</v>
      </c>
      <c r="B38" s="263">
        <v>31</v>
      </c>
      <c r="C38" s="263">
        <f t="shared" si="0"/>
        <v>3.225806451612903</v>
      </c>
    </row>
    <row r="39" spans="1:3">
      <c r="A39" s="262">
        <v>2003</v>
      </c>
      <c r="B39" s="263">
        <v>32.700000000000003</v>
      </c>
      <c r="C39" s="263">
        <f t="shared" si="0"/>
        <v>3.0581039755351678</v>
      </c>
    </row>
    <row r="40" spans="1:3">
      <c r="A40" s="262">
        <v>2004</v>
      </c>
      <c r="B40" s="263">
        <v>49.5</v>
      </c>
      <c r="C40" s="263">
        <f t="shared" si="0"/>
        <v>2.0202020202020203</v>
      </c>
    </row>
    <row r="41" spans="1:3">
      <c r="A41" s="262">
        <v>2005</v>
      </c>
      <c r="B41" s="263">
        <v>56.8</v>
      </c>
      <c r="C41" s="263">
        <f t="shared" si="0"/>
        <v>1.7605633802816902</v>
      </c>
    </row>
    <row r="42" spans="1:3">
      <c r="A42" s="262">
        <v>2006</v>
      </c>
      <c r="B42" s="263">
        <v>58.8</v>
      </c>
      <c r="C42" s="263">
        <f t="shared" si="0"/>
        <v>1.7006802721088436</v>
      </c>
    </row>
    <row r="43" spans="1:3">
      <c r="A43" s="262">
        <v>2007</v>
      </c>
      <c r="B43" s="263">
        <v>58.5</v>
      </c>
      <c r="C43" s="263">
        <f t="shared" si="0"/>
        <v>1.7094017094017093</v>
      </c>
    </row>
    <row r="44" spans="1:3">
      <c r="A44" s="262">
        <v>2008</v>
      </c>
      <c r="B44" s="263">
        <v>54.8</v>
      </c>
      <c r="C44" s="263">
        <f t="shared" si="0"/>
        <v>1.8248175182481752</v>
      </c>
    </row>
    <row r="45" spans="1:3">
      <c r="A45" s="262">
        <v>2009</v>
      </c>
      <c r="B45" s="263">
        <v>46</v>
      </c>
      <c r="C45" s="263">
        <f t="shared" si="0"/>
        <v>2.1739130434782608</v>
      </c>
    </row>
    <row r="46" spans="1:3">
      <c r="A46" s="262">
        <v>2010</v>
      </c>
      <c r="B46" s="263">
        <v>46</v>
      </c>
      <c r="C46" s="263">
        <f t="shared" si="0"/>
        <v>2.1739130434782608</v>
      </c>
    </row>
    <row r="47" spans="1:3">
      <c r="A47" s="262">
        <v>2011</v>
      </c>
      <c r="B47" s="263">
        <v>51.6</v>
      </c>
      <c r="C47" s="263">
        <f t="shared" si="0"/>
        <v>1.9379844961240309</v>
      </c>
    </row>
    <row r="48" spans="1:3">
      <c r="A48" s="262">
        <v>2012</v>
      </c>
      <c r="B48" s="263">
        <v>49.8</v>
      </c>
      <c r="C48" s="263">
        <f t="shared" si="0"/>
        <v>2.0080321285140563</v>
      </c>
    </row>
    <row r="49" spans="1:4">
      <c r="A49" s="262">
        <f>1+A48</f>
        <v>2013</v>
      </c>
      <c r="B49" s="263">
        <v>57.1</v>
      </c>
      <c r="C49" s="263">
        <f t="shared" si="0"/>
        <v>1.7513134851138352</v>
      </c>
    </row>
    <row r="50" spans="1:4">
      <c r="A50" s="262">
        <f t="shared" ref="A50:A57" si="1">1+A49</f>
        <v>2014</v>
      </c>
      <c r="B50" s="263">
        <v>64.08</v>
      </c>
      <c r="C50" s="263">
        <f t="shared" si="0"/>
        <v>1.5605493133583022</v>
      </c>
    </row>
    <row r="51" spans="1:4">
      <c r="A51" s="262">
        <f t="shared" si="1"/>
        <v>2015</v>
      </c>
      <c r="B51" s="263">
        <v>72.08</v>
      </c>
      <c r="C51" s="263">
        <f t="shared" si="0"/>
        <v>1.3873473917869035</v>
      </c>
    </row>
    <row r="52" spans="1:4">
      <c r="A52" s="262">
        <f t="shared" si="1"/>
        <v>2016</v>
      </c>
      <c r="B52" s="263">
        <v>88.01</v>
      </c>
      <c r="C52" s="263">
        <f t="shared" si="0"/>
        <v>1.1362345188046812</v>
      </c>
    </row>
    <row r="53" spans="1:4">
      <c r="A53" s="262">
        <f t="shared" si="1"/>
        <v>2017</v>
      </c>
      <c r="B53" s="263">
        <v>88.56</v>
      </c>
      <c r="C53" s="263">
        <f t="shared" si="0"/>
        <v>1.1291779584462511</v>
      </c>
    </row>
    <row r="54" spans="1:4">
      <c r="A54" s="262">
        <f t="shared" si="1"/>
        <v>2018</v>
      </c>
      <c r="B54" s="263">
        <v>99.25</v>
      </c>
      <c r="C54" s="263">
        <f t="shared" si="0"/>
        <v>1.0075566750629723</v>
      </c>
    </row>
    <row r="55" spans="1:4">
      <c r="A55" s="262">
        <f t="shared" si="1"/>
        <v>2019</v>
      </c>
      <c r="B55" s="263">
        <v>94.26</v>
      </c>
      <c r="C55" s="263">
        <f t="shared" si="0"/>
        <v>1.0608953957139826</v>
      </c>
    </row>
    <row r="56" spans="1:4">
      <c r="A56" s="262">
        <f t="shared" si="1"/>
        <v>2020</v>
      </c>
      <c r="B56" s="263">
        <v>100</v>
      </c>
      <c r="C56" s="263">
        <f t="shared" si="0"/>
        <v>1</v>
      </c>
    </row>
    <row r="57" spans="1:4">
      <c r="A57" s="262">
        <f t="shared" si="1"/>
        <v>2021</v>
      </c>
      <c r="B57" s="263">
        <v>100</v>
      </c>
      <c r="C57" s="263">
        <f t="shared" si="0"/>
        <v>1</v>
      </c>
      <c r="D57" s="349" t="s">
        <v>156</v>
      </c>
    </row>
  </sheetData>
  <hyperlinks>
    <hyperlink ref="B3" r:id="rId1" xr:uid="{1378274F-8AA5-4AE9-A60D-44D87E280506}"/>
    <hyperlink ref="E17" r:id="rId2" location="mprices" xr:uid="{04F85C32-6D03-47B1-BC6C-02A0553ED3EF}"/>
  </hyperlinks>
  <pageMargins left="0.7" right="0.7" top="0.75" bottom="0.75" header="0.3" footer="0.3"/>
  <pageSetup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58AF-4F98-4F87-9724-7B6FAD461F49}">
  <sheetPr codeName="Sheet5">
    <tabColor rgb="FFC00000"/>
    <pageSetUpPr fitToPage="1"/>
  </sheetPr>
  <dimension ref="A1:K19"/>
  <sheetViews>
    <sheetView workbookViewId="0">
      <selection activeCell="G46" sqref="G46"/>
    </sheetView>
  </sheetViews>
  <sheetFormatPr defaultRowHeight="13.15"/>
  <cols>
    <col min="7" max="7" width="20" customWidth="1"/>
    <col min="8" max="8" width="12.42578125" customWidth="1"/>
  </cols>
  <sheetData>
    <row r="1" spans="1:11" ht="15.6">
      <c r="A1" s="25" t="s">
        <v>0</v>
      </c>
      <c r="B1" s="26"/>
      <c r="C1" s="26"/>
      <c r="D1" s="27"/>
      <c r="E1" s="27"/>
      <c r="F1" s="27"/>
      <c r="G1" s="27"/>
      <c r="H1" s="26" t="s">
        <v>1</v>
      </c>
      <c r="I1" s="27"/>
      <c r="J1" s="27"/>
      <c r="K1" s="28"/>
    </row>
    <row r="2" spans="1:11">
      <c r="A2" s="29"/>
      <c r="K2" s="30"/>
    </row>
    <row r="3" spans="1:11">
      <c r="A3" s="31" t="s">
        <v>2</v>
      </c>
      <c r="B3" s="1"/>
      <c r="C3" t="str">
        <f>'Line Items'!B1</f>
        <v>SDYS - Green Stormwater Demonstration</v>
      </c>
      <c r="H3" s="1" t="s">
        <v>3</v>
      </c>
      <c r="I3" s="342"/>
      <c r="J3" s="1" t="s">
        <v>4</v>
      </c>
      <c r="K3" s="32"/>
    </row>
    <row r="4" spans="1:11">
      <c r="A4" s="31" t="s">
        <v>5</v>
      </c>
      <c r="B4" s="1"/>
      <c r="C4">
        <f>'Line Items'!B2</f>
        <v>0</v>
      </c>
      <c r="H4" s="1" t="s">
        <v>6</v>
      </c>
      <c r="I4" s="343"/>
      <c r="J4" s="1" t="s">
        <v>4</v>
      </c>
      <c r="K4" s="32"/>
    </row>
    <row r="5" spans="1:11">
      <c r="A5" s="31"/>
      <c r="B5" s="1"/>
      <c r="C5" s="1"/>
      <c r="H5" s="1"/>
      <c r="J5" s="1"/>
      <c r="K5" s="33"/>
    </row>
    <row r="6" spans="1:11">
      <c r="A6" s="29"/>
      <c r="H6" s="1"/>
      <c r="J6" s="1"/>
      <c r="K6" s="30"/>
    </row>
    <row r="7" spans="1:11">
      <c r="A7" s="34" t="s">
        <v>7</v>
      </c>
      <c r="B7" s="17"/>
      <c r="C7" s="18"/>
      <c r="D7" s="19" t="s">
        <v>8</v>
      </c>
      <c r="E7" s="20"/>
      <c r="F7" s="20"/>
      <c r="G7" s="20"/>
      <c r="H7" s="21"/>
      <c r="I7" s="20"/>
      <c r="J7" s="20"/>
      <c r="K7" s="35"/>
    </row>
    <row r="8" spans="1:11" ht="13.9" thickBot="1">
      <c r="A8" s="344" t="s">
        <v>157</v>
      </c>
      <c r="B8" s="10"/>
      <c r="C8" s="52"/>
      <c r="D8" s="350" t="s">
        <v>158</v>
      </c>
      <c r="E8" s="12"/>
      <c r="F8" s="12"/>
      <c r="G8" s="12"/>
      <c r="H8" s="13"/>
      <c r="I8" s="12"/>
      <c r="J8" s="12"/>
      <c r="K8" s="37"/>
    </row>
    <row r="9" spans="1:11" ht="13.9" thickTop="1">
      <c r="A9" s="38"/>
      <c r="B9" s="50"/>
      <c r="C9" s="55"/>
      <c r="D9" s="56"/>
      <c r="H9" s="4"/>
      <c r="K9" s="30"/>
    </row>
    <row r="10" spans="1:11">
      <c r="A10" s="53" t="s">
        <v>11</v>
      </c>
      <c r="B10" s="54"/>
      <c r="C10" s="49"/>
      <c r="D10" s="49" t="s">
        <v>12</v>
      </c>
      <c r="E10" s="16"/>
      <c r="F10" s="16"/>
      <c r="G10" s="16"/>
      <c r="H10" s="5" t="s">
        <v>8</v>
      </c>
      <c r="K10" s="30"/>
    </row>
    <row r="11" spans="1:11">
      <c r="A11" s="345" t="s">
        <v>13</v>
      </c>
      <c r="B11" s="6"/>
      <c r="C11" s="6"/>
      <c r="D11" s="51" t="s">
        <v>14</v>
      </c>
      <c r="E11" s="15"/>
      <c r="F11" s="15"/>
      <c r="G11" s="50"/>
      <c r="H11" s="8"/>
      <c r="I11" s="8"/>
      <c r="J11" s="8"/>
      <c r="K11" s="40"/>
    </row>
    <row r="12" spans="1:11">
      <c r="A12" s="41"/>
      <c r="B12" s="22"/>
      <c r="C12" s="22"/>
      <c r="D12" s="347"/>
      <c r="E12" s="14"/>
      <c r="F12" s="15"/>
      <c r="G12" s="15"/>
      <c r="H12" s="24"/>
      <c r="I12" s="2"/>
      <c r="J12" s="2"/>
      <c r="K12" s="33"/>
    </row>
    <row r="13" spans="1:11">
      <c r="A13" s="346"/>
      <c r="B13" s="347"/>
      <c r="C13" s="22"/>
      <c r="D13" s="22"/>
      <c r="E13" s="14"/>
      <c r="F13" s="15"/>
      <c r="G13" s="15"/>
      <c r="H13" s="4"/>
      <c r="K13" s="30"/>
    </row>
    <row r="14" spans="1:11">
      <c r="A14" s="41"/>
      <c r="B14" s="23"/>
      <c r="C14" s="23"/>
      <c r="D14" s="347"/>
      <c r="E14" s="14"/>
      <c r="F14" s="15"/>
      <c r="G14" s="15"/>
      <c r="H14" s="4"/>
      <c r="K14" s="30"/>
    </row>
    <row r="15" spans="1:11" ht="13.9" thickBot="1">
      <c r="A15" s="153"/>
      <c r="B15" s="80"/>
      <c r="C15" s="80"/>
      <c r="D15" s="348"/>
      <c r="E15" s="96"/>
      <c r="F15" s="97"/>
      <c r="G15" s="97"/>
      <c r="H15" s="65"/>
      <c r="I15" s="57"/>
      <c r="J15" s="57"/>
      <c r="K15" s="70"/>
    </row>
    <row r="16" spans="1:11" ht="13.9" thickTop="1">
      <c r="A16" s="29"/>
      <c r="G16" s="1"/>
      <c r="H16" s="1" t="s">
        <v>16</v>
      </c>
      <c r="I16" s="1"/>
      <c r="J16" s="16">
        <f>SUM(D12:D15)</f>
        <v>0</v>
      </c>
      <c r="K16" s="71" t="s">
        <v>14</v>
      </c>
    </row>
    <row r="17" spans="1:11" ht="13.9" thickBot="1">
      <c r="A17" s="42"/>
      <c r="B17" s="43"/>
      <c r="C17" s="43"/>
      <c r="D17" s="43"/>
      <c r="E17" s="43"/>
      <c r="F17" s="43"/>
      <c r="G17" s="44"/>
      <c r="H17" s="44"/>
      <c r="I17" s="86" t="s">
        <v>17</v>
      </c>
      <c r="J17" s="73"/>
      <c r="K17" s="47"/>
    </row>
    <row r="18" spans="1:11">
      <c r="A18" t="s">
        <v>18</v>
      </c>
      <c r="B18" s="349"/>
    </row>
    <row r="19" spans="1:11">
      <c r="G19" s="1"/>
      <c r="H19" s="1"/>
      <c r="I19" s="1"/>
      <c r="J19" s="16"/>
      <c r="K19" s="16"/>
    </row>
  </sheetData>
  <phoneticPr fontId="0" type="noConversion"/>
  <pageMargins left="0.75" right="0.75" top="1" bottom="1" header="0.5" footer="0.5"/>
  <pageSetup scale="81" orientation="portrait" horizontalDpi="4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4EED-CCA4-462F-B8CC-0177C719517F}">
  <sheetPr codeName="Sheet6">
    <tabColor rgb="FFC00000"/>
    <pageSetUpPr fitToPage="1"/>
  </sheetPr>
  <dimension ref="A1:K19"/>
  <sheetViews>
    <sheetView workbookViewId="0">
      <selection activeCell="I54" sqref="I54"/>
    </sheetView>
  </sheetViews>
  <sheetFormatPr defaultRowHeight="13.15"/>
  <cols>
    <col min="7" max="7" width="20" customWidth="1"/>
    <col min="8" max="8" width="12.42578125" customWidth="1"/>
  </cols>
  <sheetData>
    <row r="1" spans="1:11" ht="15.6">
      <c r="A1" s="25" t="s">
        <v>0</v>
      </c>
      <c r="B1" s="26"/>
      <c r="C1" s="26"/>
      <c r="D1" s="27"/>
      <c r="E1" s="27"/>
      <c r="F1" s="27"/>
      <c r="G1" s="27"/>
      <c r="H1" s="26" t="s">
        <v>1</v>
      </c>
      <c r="I1" s="27"/>
      <c r="J1" s="27"/>
      <c r="K1" s="28"/>
    </row>
    <row r="2" spans="1:11">
      <c r="A2" s="29"/>
      <c r="K2" s="30"/>
    </row>
    <row r="3" spans="1:11">
      <c r="A3" s="31" t="s">
        <v>2</v>
      </c>
      <c r="B3" s="1"/>
      <c r="C3" t="str">
        <f>'Line Items'!B1</f>
        <v>SDYS - Green Stormwater Demonstration</v>
      </c>
      <c r="H3" s="1" t="s">
        <v>3</v>
      </c>
      <c r="I3" s="342"/>
      <c r="J3" s="1" t="s">
        <v>4</v>
      </c>
      <c r="K3" s="32"/>
    </row>
    <row r="4" spans="1:11">
      <c r="A4" s="31" t="s">
        <v>5</v>
      </c>
      <c r="B4" s="1"/>
      <c r="C4">
        <f>'Line Items'!B2</f>
        <v>0</v>
      </c>
      <c r="H4" s="1" t="s">
        <v>6</v>
      </c>
      <c r="I4" s="343"/>
      <c r="J4" s="1" t="s">
        <v>4</v>
      </c>
      <c r="K4" s="32"/>
    </row>
    <row r="5" spans="1:11">
      <c r="A5" s="31"/>
      <c r="B5" s="1"/>
      <c r="C5" s="1"/>
      <c r="H5" s="1"/>
      <c r="J5" s="1"/>
      <c r="K5" s="33"/>
    </row>
    <row r="6" spans="1:11">
      <c r="A6" s="29"/>
      <c r="H6" s="1"/>
      <c r="J6" s="1"/>
      <c r="K6" s="30"/>
    </row>
    <row r="7" spans="1:11">
      <c r="A7" s="34" t="s">
        <v>7</v>
      </c>
      <c r="B7" s="17"/>
      <c r="C7" s="18"/>
      <c r="D7" s="19" t="s">
        <v>8</v>
      </c>
      <c r="E7" s="20"/>
      <c r="F7" s="20"/>
      <c r="G7" s="20"/>
      <c r="H7" s="21"/>
      <c r="I7" s="20"/>
      <c r="J7" s="20"/>
      <c r="K7" s="35"/>
    </row>
    <row r="8" spans="1:11" ht="13.9" thickBot="1">
      <c r="A8" s="344" t="s">
        <v>159</v>
      </c>
      <c r="B8" s="10"/>
      <c r="C8" s="52"/>
      <c r="D8" s="350" t="s">
        <v>160</v>
      </c>
      <c r="E8" s="12"/>
      <c r="F8" s="12"/>
      <c r="G8" s="12"/>
      <c r="H8" s="13"/>
      <c r="I8" s="12"/>
      <c r="J8" s="12"/>
      <c r="K8" s="37"/>
    </row>
    <row r="9" spans="1:11" ht="13.9" thickTop="1">
      <c r="A9" s="38"/>
      <c r="B9" s="50"/>
      <c r="C9" s="55"/>
      <c r="D9" s="56"/>
      <c r="H9" s="4"/>
      <c r="K9" s="30"/>
    </row>
    <row r="10" spans="1:11">
      <c r="A10" s="53" t="s">
        <v>11</v>
      </c>
      <c r="B10" s="54"/>
      <c r="C10" s="49"/>
      <c r="D10" s="49" t="s">
        <v>12</v>
      </c>
      <c r="E10" s="16"/>
      <c r="F10" s="16"/>
      <c r="G10" s="16"/>
      <c r="H10" s="5" t="s">
        <v>8</v>
      </c>
      <c r="K10" s="30"/>
    </row>
    <row r="11" spans="1:11">
      <c r="A11" s="345" t="s">
        <v>13</v>
      </c>
      <c r="B11" s="6"/>
      <c r="C11" s="6"/>
      <c r="D11" s="351" t="s">
        <v>64</v>
      </c>
      <c r="E11" s="15"/>
      <c r="F11" s="15"/>
      <c r="G11" s="50"/>
      <c r="H11" s="8"/>
      <c r="I11" s="8"/>
      <c r="J11" s="8"/>
      <c r="K11" s="40"/>
    </row>
    <row r="12" spans="1:11">
      <c r="A12" s="41"/>
      <c r="B12" s="22"/>
      <c r="C12" s="22"/>
      <c r="D12" s="347"/>
      <c r="E12" s="14"/>
      <c r="F12" s="15"/>
      <c r="G12" s="15"/>
      <c r="H12" s="24"/>
      <c r="I12" s="2"/>
      <c r="J12" s="2"/>
      <c r="K12" s="33"/>
    </row>
    <row r="13" spans="1:11">
      <c r="A13" s="346"/>
      <c r="B13" s="347"/>
      <c r="C13" s="22"/>
      <c r="D13" s="22"/>
      <c r="E13" s="14"/>
      <c r="F13" s="15"/>
      <c r="G13" s="15"/>
      <c r="H13" s="4"/>
      <c r="K13" s="30"/>
    </row>
    <row r="14" spans="1:11">
      <c r="A14" s="41"/>
      <c r="B14" s="23"/>
      <c r="C14" s="23"/>
      <c r="D14" s="347"/>
      <c r="E14" s="14"/>
      <c r="F14" s="15"/>
      <c r="G14" s="15"/>
      <c r="H14" s="4"/>
      <c r="K14" s="30"/>
    </row>
    <row r="15" spans="1:11" ht="13.9" thickBot="1">
      <c r="A15" s="153"/>
      <c r="B15" s="80"/>
      <c r="C15" s="80"/>
      <c r="D15" s="348"/>
      <c r="E15" s="96"/>
      <c r="F15" s="97"/>
      <c r="G15" s="97"/>
      <c r="H15" s="65"/>
      <c r="I15" s="57"/>
      <c r="J15" s="57"/>
      <c r="K15" s="70"/>
    </row>
    <row r="16" spans="1:11" ht="13.9" thickTop="1">
      <c r="A16" s="29"/>
      <c r="G16" s="1"/>
      <c r="H16" s="1" t="s">
        <v>16</v>
      </c>
      <c r="I16" s="1"/>
      <c r="J16" s="16">
        <f>SUM(D12:D15)</f>
        <v>0</v>
      </c>
      <c r="K16" s="71" t="s">
        <v>64</v>
      </c>
    </row>
    <row r="17" spans="1:11" ht="13.9" thickBot="1">
      <c r="A17" s="42"/>
      <c r="B17" s="43"/>
      <c r="C17" s="43"/>
      <c r="D17" s="43"/>
      <c r="E17" s="43"/>
      <c r="F17" s="43"/>
      <c r="G17" s="44"/>
      <c r="H17" s="44"/>
      <c r="I17" s="86" t="s">
        <v>17</v>
      </c>
      <c r="J17" s="73"/>
      <c r="K17" s="47"/>
    </row>
    <row r="18" spans="1:11">
      <c r="A18" t="s">
        <v>18</v>
      </c>
      <c r="B18" s="349"/>
    </row>
    <row r="19" spans="1:11">
      <c r="G19" s="1"/>
      <c r="H19" s="1"/>
      <c r="I19" s="1"/>
      <c r="J19" s="16"/>
      <c r="K19" s="16"/>
    </row>
  </sheetData>
  <phoneticPr fontId="0" type="noConversion"/>
  <pageMargins left="0.75" right="0.75" top="1" bottom="1" header="0.5" footer="0.5"/>
  <pageSetup scale="81" orientation="portrait" horizontalDpi="4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2E26-F09A-4915-B318-C1FEFF175B49}">
  <sheetPr codeName="Sheet15">
    <tabColor rgb="FF92D050"/>
    <pageSetUpPr fitToPage="1"/>
  </sheetPr>
  <dimension ref="A1:Q53"/>
  <sheetViews>
    <sheetView view="pageBreakPreview" zoomScale="130" zoomScaleNormal="100" zoomScaleSheetLayoutView="130" workbookViewId="0">
      <selection activeCell="C8" sqref="C8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 t="e">
        <f>'Line Items'!#REF!</f>
        <v>#REF!</v>
      </c>
      <c r="I4" s="1" t="s">
        <v>4</v>
      </c>
      <c r="J4" s="32" t="e">
        <f>'Line Items'!#REF!</f>
        <v>#REF!</v>
      </c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162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163</v>
      </c>
      <c r="B8" s="164"/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3"/>
      <c r="B9" s="354"/>
      <c r="C9" s="165">
        <v>2</v>
      </c>
      <c r="D9" s="234"/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18"/>
      <c r="E11" s="419"/>
      <c r="F11" s="419"/>
      <c r="G11" s="419"/>
      <c r="H11" s="419"/>
      <c r="I11" s="419"/>
      <c r="J11" s="420"/>
    </row>
    <row r="12" spans="1:10" ht="15" customHeight="1">
      <c r="A12" s="230"/>
      <c r="B12" s="158"/>
      <c r="C12" s="171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/>
      <c r="B18" s="167"/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23">
        <f>A9*C9</f>
        <v>0</v>
      </c>
      <c r="J19" s="166" t="s">
        <v>64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24">
        <f>I19</f>
        <v>0</v>
      </c>
      <c r="J20" s="163" t="s">
        <v>64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7">
    <mergeCell ref="D16:J16"/>
    <mergeCell ref="D17:J17"/>
    <mergeCell ref="D10:J10"/>
    <mergeCell ref="D11:J11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0296-27F3-447B-916E-E3CD7B89FCC9}">
  <sheetPr codeName="Sheet17">
    <tabColor rgb="FF92D050"/>
    <pageSetUpPr fitToPage="1"/>
  </sheetPr>
  <dimension ref="A1:Q53"/>
  <sheetViews>
    <sheetView view="pageBreakPreview" zoomScale="130" zoomScaleNormal="100" zoomScaleSheetLayoutView="130" workbookViewId="0">
      <selection activeCell="D13" sqref="D13:J13"/>
    </sheetView>
  </sheetViews>
  <sheetFormatPr defaultRowHeight="13.15"/>
  <cols>
    <col min="1" max="1" width="30.7109375" customWidth="1"/>
    <col min="2" max="2" width="15.7109375" customWidth="1"/>
    <col min="3" max="8" width="10.7109375" customWidth="1"/>
    <col min="9" max="9" width="12.85546875" bestFit="1" customWidth="1"/>
    <col min="10" max="10" width="10.7109375" customWidth="1"/>
  </cols>
  <sheetData>
    <row r="1" spans="1:10" ht="24.95" customHeight="1" thickBot="1">
      <c r="A1" s="225" t="s">
        <v>0</v>
      </c>
      <c r="B1" s="226"/>
      <c r="C1" s="227"/>
      <c r="D1" s="227"/>
      <c r="E1" s="227"/>
      <c r="F1" s="227"/>
      <c r="G1" s="226" t="s">
        <v>1</v>
      </c>
      <c r="H1" s="227"/>
      <c r="I1" s="227"/>
      <c r="J1" s="228"/>
    </row>
    <row r="2" spans="1:10" ht="15" customHeight="1" thickTop="1">
      <c r="A2" s="29"/>
      <c r="J2" s="30"/>
    </row>
    <row r="3" spans="1:10" ht="15" customHeight="1">
      <c r="A3" s="31" t="s">
        <v>2</v>
      </c>
      <c r="B3" t="str">
        <f>'Line Items'!B1</f>
        <v>SDYS - Green Stormwater Demonstration</v>
      </c>
      <c r="G3" s="1" t="s">
        <v>3</v>
      </c>
      <c r="H3" s="342" t="e">
        <f>'Line Items'!#REF!</f>
        <v>#REF!</v>
      </c>
      <c r="I3" s="1" t="s">
        <v>4</v>
      </c>
      <c r="J3" s="352" t="e">
        <f>'Line Items'!#REF!</f>
        <v>#REF!</v>
      </c>
    </row>
    <row r="4" spans="1:10" ht="15" customHeight="1">
      <c r="A4" s="31" t="s">
        <v>5</v>
      </c>
      <c r="B4" s="154">
        <f>'Line Items'!B2</f>
        <v>0</v>
      </c>
      <c r="G4" s="1" t="s">
        <v>6</v>
      </c>
      <c r="H4" s="343"/>
      <c r="I4" s="1" t="s">
        <v>4</v>
      </c>
      <c r="J4" s="32"/>
    </row>
    <row r="5" spans="1:10" ht="15" customHeight="1">
      <c r="A5" s="29"/>
      <c r="G5" s="1"/>
      <c r="I5" s="1"/>
      <c r="J5" s="30"/>
    </row>
    <row r="6" spans="1:10" ht="24.95" customHeight="1">
      <c r="A6" s="34" t="s">
        <v>161</v>
      </c>
      <c r="B6" s="18"/>
      <c r="C6" s="19" t="s">
        <v>8</v>
      </c>
      <c r="D6" s="20"/>
      <c r="E6" s="20"/>
      <c r="F6" s="20"/>
      <c r="G6" s="21"/>
      <c r="H6" s="20"/>
      <c r="I6" s="20"/>
      <c r="J6" s="35"/>
    </row>
    <row r="7" spans="1:10" ht="24.95" customHeight="1" thickBot="1">
      <c r="A7" s="344"/>
      <c r="B7" s="52"/>
      <c r="C7" s="350" t="s">
        <v>164</v>
      </c>
      <c r="D7" s="12"/>
      <c r="E7" s="12"/>
      <c r="F7" s="12"/>
      <c r="G7" s="13"/>
      <c r="H7" s="12"/>
      <c r="I7" s="12"/>
      <c r="J7" s="37"/>
    </row>
    <row r="8" spans="1:10" ht="15" customHeight="1" thickTop="1">
      <c r="A8" s="222" t="s">
        <v>11</v>
      </c>
      <c r="B8" s="164" t="s">
        <v>165</v>
      </c>
      <c r="C8" s="164" t="s">
        <v>12</v>
      </c>
      <c r="D8" s="174" t="s">
        <v>8</v>
      </c>
      <c r="E8" s="175"/>
      <c r="F8" s="175"/>
      <c r="G8" s="229"/>
      <c r="H8" s="173"/>
      <c r="I8" s="173"/>
      <c r="J8" s="176"/>
    </row>
    <row r="9" spans="1:10" ht="15" customHeight="1">
      <c r="A9" s="355"/>
      <c r="B9" s="356">
        <v>3337</v>
      </c>
      <c r="C9" s="165" t="s">
        <v>14</v>
      </c>
      <c r="D9" s="234" t="s">
        <v>166</v>
      </c>
      <c r="E9" s="235"/>
      <c r="F9" s="235"/>
      <c r="G9" s="235"/>
      <c r="H9" s="235"/>
      <c r="I9" s="235"/>
      <c r="J9" s="236"/>
    </row>
    <row r="10" spans="1:10" ht="15" customHeight="1">
      <c r="A10" s="230"/>
      <c r="B10" s="157"/>
      <c r="C10" s="171"/>
      <c r="D10" s="418"/>
      <c r="E10" s="419"/>
      <c r="F10" s="419"/>
      <c r="G10" s="419"/>
      <c r="H10" s="419"/>
      <c r="I10" s="419"/>
      <c r="J10" s="420"/>
    </row>
    <row r="11" spans="1:10" ht="15" customHeight="1">
      <c r="A11" s="230"/>
      <c r="B11" s="157"/>
      <c r="C11" s="171"/>
      <c r="D11" s="421"/>
      <c r="E11" s="422"/>
      <c r="F11" s="422"/>
      <c r="G11" s="422"/>
      <c r="H11" s="422"/>
      <c r="I11" s="422"/>
      <c r="J11" s="423"/>
    </row>
    <row r="12" spans="1:10" ht="15" customHeight="1">
      <c r="A12" s="230"/>
      <c r="B12" s="158"/>
      <c r="C12" s="171"/>
      <c r="D12" s="418"/>
      <c r="E12" s="419"/>
      <c r="F12" s="419"/>
      <c r="G12" s="419"/>
      <c r="H12" s="419"/>
      <c r="I12" s="419"/>
      <c r="J12" s="420"/>
    </row>
    <row r="13" spans="1:10" ht="15" customHeight="1">
      <c r="A13" s="230"/>
      <c r="B13" s="169"/>
      <c r="C13" s="170"/>
      <c r="D13" s="418"/>
      <c r="E13" s="419"/>
      <c r="F13" s="419"/>
      <c r="G13" s="419"/>
      <c r="H13" s="419"/>
      <c r="I13" s="419"/>
      <c r="J13" s="420"/>
    </row>
    <row r="14" spans="1:10" ht="15" customHeight="1">
      <c r="A14" s="230"/>
      <c r="B14" s="169"/>
      <c r="C14" s="170"/>
      <c r="D14" s="418"/>
      <c r="E14" s="419"/>
      <c r="F14" s="419"/>
      <c r="G14" s="419"/>
      <c r="H14" s="419"/>
      <c r="I14" s="419"/>
      <c r="J14" s="420"/>
    </row>
    <row r="15" spans="1:10" ht="15" customHeight="1">
      <c r="A15" s="230"/>
      <c r="B15" s="169"/>
      <c r="C15" s="170"/>
      <c r="D15" s="418"/>
      <c r="E15" s="419"/>
      <c r="F15" s="419"/>
      <c r="G15" s="419"/>
      <c r="H15" s="419"/>
      <c r="I15" s="419"/>
      <c r="J15" s="420"/>
    </row>
    <row r="16" spans="1:10" ht="15" customHeight="1">
      <c r="A16" s="230"/>
      <c r="B16" s="169"/>
      <c r="C16" s="170"/>
      <c r="D16" s="418"/>
      <c r="E16" s="419"/>
      <c r="F16" s="419"/>
      <c r="G16" s="419"/>
      <c r="H16" s="419"/>
      <c r="I16" s="419"/>
      <c r="J16" s="420"/>
    </row>
    <row r="17" spans="1:10" ht="15" customHeight="1">
      <c r="A17" s="230"/>
      <c r="B17" s="169"/>
      <c r="C17" s="170"/>
      <c r="D17" s="418"/>
      <c r="E17" s="419"/>
      <c r="F17" s="419"/>
      <c r="G17" s="419"/>
      <c r="H17" s="419"/>
      <c r="I17" s="419"/>
      <c r="J17" s="420"/>
    </row>
    <row r="18" spans="1:10" ht="15" customHeight="1" thickBot="1">
      <c r="A18" s="231" t="s">
        <v>167</v>
      </c>
      <c r="B18" s="257">
        <f>ROUNDUP(B9,-1)</f>
        <v>3340</v>
      </c>
      <c r="C18" s="172"/>
      <c r="D18" s="233"/>
      <c r="E18" s="177"/>
      <c r="F18" s="177"/>
      <c r="G18" s="178"/>
      <c r="H18" s="178"/>
      <c r="I18" s="178"/>
      <c r="J18" s="179"/>
    </row>
    <row r="19" spans="1:10" ht="15" customHeight="1" thickTop="1">
      <c r="A19" s="159"/>
      <c r="B19" s="155"/>
      <c r="C19" s="155"/>
      <c r="D19" s="155"/>
      <c r="E19" s="155"/>
      <c r="F19" s="156"/>
      <c r="G19" s="156" t="s">
        <v>16</v>
      </c>
      <c r="H19" s="156"/>
      <c r="I19" s="260">
        <f>A9*B18</f>
        <v>0</v>
      </c>
      <c r="J19" s="166" t="s">
        <v>14</v>
      </c>
    </row>
    <row r="20" spans="1:10" ht="15" customHeight="1" thickBot="1">
      <c r="A20" s="160"/>
      <c r="B20" s="161"/>
      <c r="C20" s="161"/>
      <c r="D20" s="161"/>
      <c r="E20" s="161"/>
      <c r="F20" s="162"/>
      <c r="G20" s="162"/>
      <c r="H20" s="168" t="s">
        <v>17</v>
      </c>
      <c r="I20" s="261">
        <f>I19</f>
        <v>0</v>
      </c>
      <c r="J20" s="163" t="s">
        <v>14</v>
      </c>
    </row>
    <row r="21" spans="1:10" ht="15" customHeight="1"/>
    <row r="25" spans="1:10">
      <c r="E25" s="232"/>
      <c r="G25" s="232"/>
    </row>
    <row r="48" spans="12:12">
      <c r="L48" s="349"/>
    </row>
    <row r="50" spans="12:17">
      <c r="L50" s="349"/>
    </row>
    <row r="51" spans="12:17">
      <c r="L51" s="349"/>
      <c r="M51" s="349"/>
      <c r="O51" s="349"/>
      <c r="Q51" s="349"/>
    </row>
    <row r="53" spans="12:17">
      <c r="L53" s="349"/>
    </row>
  </sheetData>
  <mergeCells count="8">
    <mergeCell ref="D16:J16"/>
    <mergeCell ref="D17:J17"/>
    <mergeCell ref="D10:J10"/>
    <mergeCell ref="D11:J11"/>
    <mergeCell ref="D12:J12"/>
    <mergeCell ref="D13:J13"/>
    <mergeCell ref="D14:J14"/>
    <mergeCell ref="D15:J15"/>
  </mergeCells>
  <pageMargins left="0.75" right="0.75" top="1" bottom="1" header="0.5" footer="0.5"/>
  <pageSetup scale="68" orientation="portrait" horizont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FundNumber xmlns="b783d164-8774-4ec1-9198-3d0d8ebbaa79" xsi:nil="true"/>
    <_ip_UnifiedCompliancePolicyProperties xmlns="http://schemas.microsoft.com/sharepoint/v3" xsi:nil="true"/>
    <Status xmlns="b783d164-8774-4ec1-9198-3d0d8ebbaa79" xsi:nil="true"/>
    <Notes xmlns="b783d164-8774-4ec1-9198-3d0d8ebbaa79" xsi:nil="true"/>
    <TaxCatchAll xmlns="ac5a2681-d3d0-4d92-9fce-1cc9dc1f6655" xsi:nil="true"/>
    <lcf76f155ced4ddcb4097134ff3c332f xmlns="b783d164-8774-4ec1-9198-3d0d8ebbaa7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9320BE7490E42B66CE517869D12BC" ma:contentTypeVersion="29" ma:contentTypeDescription="Create a new document." ma:contentTypeScope="" ma:versionID="b4be336f2cea9385b15e94760bb2d50d">
  <xsd:schema xmlns:xsd="http://www.w3.org/2001/XMLSchema" xmlns:xs="http://www.w3.org/2001/XMLSchema" xmlns:p="http://schemas.microsoft.com/office/2006/metadata/properties" xmlns:ns1="http://schemas.microsoft.com/sharepoint/v3" xmlns:ns2="b783d164-8774-4ec1-9198-3d0d8ebbaa79" xmlns:ns3="ac5a2681-d3d0-4d92-9fce-1cc9dc1f6655" targetNamespace="http://schemas.microsoft.com/office/2006/metadata/properties" ma:root="true" ma:fieldsID="b32369c2045da143ee662339117e6e38" ns1:_="" ns2:_="" ns3:_="">
    <xsd:import namespace="http://schemas.microsoft.com/sharepoint/v3"/>
    <xsd:import namespace="b783d164-8774-4ec1-9198-3d0d8ebbaa79"/>
    <xsd:import namespace="ac5a2681-d3d0-4d92-9fce-1cc9dc1f6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FundNumber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3d164-8774-4ec1-9198-3d0d8ebba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216fe5-d0d9-4de3-9364-4e026d8b11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4" nillable="true" ma:displayName="Notes" ma:description="DNU - do not use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FundNumber" ma:index="30" nillable="true" ma:displayName="Fund Number" ma:format="Dropdown" ma:internalName="FundNumber">
      <xsd:simpleType>
        <xsd:restriction base="dms:Choice">
          <xsd:enumeration value="3065 - NP - 1"/>
          <xsd:enumeration value="3064 - Internship - 4"/>
          <xsd:enumeration value="3063 - Peer - 3"/>
          <xsd:enumeration value="3062 - Apprentice - 2"/>
          <xsd:enumeration value="3051"/>
          <xsd:enumeration value="3061"/>
          <xsd:enumeration value="3049"/>
        </xsd:restriction>
      </xsd:simpleType>
    </xsd:element>
    <xsd:element name="Status" ma:index="31" nillable="true" ma:displayName="Status" ma:format="Dropdown" ma:internalName="Status">
      <xsd:simpleType>
        <xsd:restriction base="dms:Choice">
          <xsd:enumeration value="Draft"/>
          <xsd:enumeration value="In Progress"/>
          <xsd:enumeration value="Final"/>
          <xsd:enumeration value="Archived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a2681-d3d0-4d92-9fce-1cc9dc1f66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36231d1-3864-4635-a095-074054f9b9c7}" ma:internalName="TaxCatchAll" ma:showField="CatchAllData" ma:web="ac5a2681-d3d0-4d92-9fce-1cc9dc1f6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9BA43-0DE8-4BD0-B2BD-C8BE8BAA989D}"/>
</file>

<file path=customXml/itemProps2.xml><?xml version="1.0" encoding="utf-8"?>
<ds:datastoreItem xmlns:ds="http://schemas.openxmlformats.org/officeDocument/2006/customXml" ds:itemID="{C2016469-700A-4424-A399-7A2C677103D8}"/>
</file>

<file path=customXml/itemProps3.xml><?xml version="1.0" encoding="utf-8"?>
<ds:datastoreItem xmlns:ds="http://schemas.openxmlformats.org/officeDocument/2006/customXml" ds:itemID="{92358A3B-20EA-4822-ABE3-9FAA6D62F8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Rick Engineering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Reeves</dc:creator>
  <cp:keywords/>
  <dc:description/>
  <cp:lastModifiedBy/>
  <cp:revision/>
  <dcterms:created xsi:type="dcterms:W3CDTF">2006-02-10T17:10:44Z</dcterms:created>
  <dcterms:modified xsi:type="dcterms:W3CDTF">2026-06-23T20:23:03Z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0x010100E209320BE7490E42B66CE517869D12BC</vt:lpwstr>
  </property>
  <property fmtid="{D5CDD505-2E9C-101B-9397-08002B2CF9AE}" pid="3" name="MediaServiceImageTags">
    <vt:lpwstr/>
  </property>
</Properties>
</file>